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280" windowHeight="7155" activeTab="0"/>
  </bookViews>
  <sheets>
    <sheet name="LORESCO REQ." sheetId="1" r:id="rId1"/>
    <sheet name="VERTICAL ANODE RESISTANCE" sheetId="2" r:id="rId2"/>
    <sheet name="HORIZONTAL ANODE RESISTANCE" sheetId="3" r:id="rId3"/>
    <sheet name="LORESCO RDA DESIGN" sheetId="4" r:id="rId4"/>
  </sheets>
  <definedNames/>
  <calcPr fullCalcOnLoad="1"/>
</workbook>
</file>

<file path=xl/comments1.xml><?xml version="1.0" encoding="utf-8"?>
<comments xmlns="http://schemas.openxmlformats.org/spreadsheetml/2006/main">
  <authors>
    <author>Thomas H Lewis, Jr</author>
  </authors>
  <commentList>
    <comment ref="C2" authorId="0">
      <text>
        <r>
          <rPr>
            <b/>
            <sz val="8"/>
            <rFont val="Tahoma"/>
            <family val="2"/>
          </rPr>
          <t>Choose a specific LORESCO product and enter Vertical hole info. Hit "Enter" to calculate product weight required.</t>
        </r>
      </text>
    </comment>
    <comment ref="H2" authorId="0">
      <text>
        <r>
          <rPr>
            <b/>
            <sz val="8"/>
            <rFont val="Tahoma"/>
            <family val="0"/>
          </rPr>
          <t>Choose a specific LORESCO product and enter Horizontal trench info. Hit "Enter" to calculate product weight required.</t>
        </r>
        <r>
          <rPr>
            <sz val="8"/>
            <rFont val="Tahoma"/>
            <family val="0"/>
          </rPr>
          <t xml:space="preserve">
</t>
        </r>
      </text>
    </comment>
    <comment ref="C4" authorId="0">
      <text>
        <r>
          <rPr>
            <b/>
            <sz val="8"/>
            <rFont val="Tahoma"/>
            <family val="0"/>
          </rPr>
          <t>Diameter must be Entered in inches.</t>
        </r>
        <r>
          <rPr>
            <sz val="8"/>
            <rFont val="Tahoma"/>
            <family val="0"/>
          </rPr>
          <t xml:space="preserve">
</t>
        </r>
      </text>
    </comment>
    <comment ref="D4" authorId="0">
      <text>
        <r>
          <rPr>
            <b/>
            <sz val="8"/>
            <rFont val="Tahoma"/>
            <family val="2"/>
          </rPr>
          <t>Fill Length is the length of the carbon column. Fill Length must be Entered in feet.</t>
        </r>
        <r>
          <rPr>
            <sz val="8"/>
            <rFont val="Tahoma"/>
            <family val="0"/>
          </rPr>
          <t xml:space="preserve">
</t>
        </r>
      </text>
    </comment>
    <comment ref="E4" authorId="0">
      <text>
        <r>
          <rPr>
            <b/>
            <sz val="8"/>
            <rFont val="Tahoma"/>
            <family val="0"/>
          </rPr>
          <t>Total number of Vertical Holes to be filled.</t>
        </r>
        <r>
          <rPr>
            <sz val="8"/>
            <rFont val="Tahoma"/>
            <family val="0"/>
          </rPr>
          <t xml:space="preserve">
</t>
        </r>
      </text>
    </comment>
    <comment ref="H4" authorId="0">
      <text>
        <r>
          <rPr>
            <b/>
            <sz val="8"/>
            <rFont val="Tahoma"/>
            <family val="2"/>
          </rPr>
          <t>Width of the trench to be filled in inches.</t>
        </r>
      </text>
    </comment>
    <comment ref="I4" authorId="0">
      <text>
        <r>
          <rPr>
            <b/>
            <sz val="8"/>
            <rFont val="Tahoma"/>
            <family val="0"/>
          </rPr>
          <t>Total Thickness of LORESCO to be installed in the trench in inches.</t>
        </r>
        <r>
          <rPr>
            <sz val="8"/>
            <rFont val="Tahoma"/>
            <family val="0"/>
          </rPr>
          <t xml:space="preserve">
</t>
        </r>
      </text>
    </comment>
    <comment ref="J4" authorId="0">
      <text>
        <r>
          <rPr>
            <b/>
            <sz val="8"/>
            <rFont val="Tahoma"/>
            <family val="0"/>
          </rPr>
          <t>Total length of trench to be filled in feet.</t>
        </r>
        <r>
          <rPr>
            <sz val="8"/>
            <rFont val="Tahoma"/>
            <family val="0"/>
          </rPr>
          <t xml:space="preserve">
</t>
        </r>
      </text>
    </comment>
    <comment ref="K4" authorId="0">
      <text>
        <r>
          <rPr>
            <b/>
            <sz val="8"/>
            <rFont val="Tahoma"/>
            <family val="0"/>
          </rPr>
          <t>Number of Trenches to be filled.</t>
        </r>
        <r>
          <rPr>
            <sz val="8"/>
            <rFont val="Tahoma"/>
            <family val="0"/>
          </rPr>
          <t xml:space="preserve">
</t>
        </r>
      </text>
    </comment>
    <comment ref="F4" authorId="0">
      <text>
        <r>
          <rPr>
            <b/>
            <sz val="8"/>
            <rFont val="Tahoma"/>
            <family val="0"/>
          </rPr>
          <t>Total Weight of LORESCO required in pounds. To calculate weight for NEW set of conditions, simply change the Input variables.</t>
        </r>
        <r>
          <rPr>
            <sz val="8"/>
            <rFont val="Tahoma"/>
            <family val="0"/>
          </rPr>
          <t xml:space="preserve">
</t>
        </r>
      </text>
    </comment>
    <comment ref="L4" authorId="0">
      <text>
        <r>
          <rPr>
            <b/>
            <sz val="8"/>
            <rFont val="Tahoma"/>
            <family val="2"/>
          </rPr>
          <t xml:space="preserve">Total Weight of LORESCO required in pounds. To calculate weight for NEW set of conditions, simply change the Input variables.
</t>
        </r>
      </text>
    </comment>
    <comment ref="A19" authorId="0">
      <text>
        <r>
          <rPr>
            <b/>
            <sz val="8"/>
            <rFont val="Tahoma"/>
            <family val="0"/>
          </rPr>
          <t>"Click" on appropriate tab below to select other calculators.</t>
        </r>
        <r>
          <rPr>
            <sz val="8"/>
            <rFont val="Tahoma"/>
            <family val="0"/>
          </rPr>
          <t xml:space="preserve">
</t>
        </r>
      </text>
    </comment>
    <comment ref="F3" authorId="0">
      <text>
        <r>
          <rPr>
            <b/>
            <sz val="8"/>
            <rFont val="Tahoma"/>
            <family val="2"/>
          </rPr>
          <t>FOR ASSISTANCE OR TO ORDER:
CALL: 601-544-7490
FAX: 601-544-7531
E-MAIL: info@loresco.com</t>
        </r>
        <r>
          <rPr>
            <sz val="8"/>
            <rFont val="Tahoma"/>
            <family val="0"/>
          </rPr>
          <t xml:space="preserve">
</t>
        </r>
      </text>
    </comment>
    <comment ref="L3" authorId="0">
      <text>
        <r>
          <rPr>
            <b/>
            <sz val="8"/>
            <rFont val="Tahoma"/>
            <family val="2"/>
          </rPr>
          <t>FOR ASSISTANCE OR TO ORDER:
CALL: 601-544-7490
FAX: 601-544-7531
E-MAIL: info@loresco.com</t>
        </r>
      </text>
    </comment>
    <comment ref="E1" authorId="0">
      <text>
        <r>
          <rPr>
            <b/>
            <sz val="8"/>
            <rFont val="Tahoma"/>
            <family val="2"/>
          </rPr>
          <t>CONTACT INFO:
PHONE: 601-544-7490
FAX: 601-544-7531
E-MAIL: info@loresco.com</t>
        </r>
      </text>
    </comment>
  </commentList>
</comments>
</file>

<file path=xl/comments2.xml><?xml version="1.0" encoding="utf-8"?>
<comments xmlns="http://schemas.openxmlformats.org/spreadsheetml/2006/main">
  <authors>
    <author>Thomas H Lewis, Jr</author>
  </authors>
  <commentList>
    <comment ref="A4" authorId="0">
      <text>
        <r>
          <rPr>
            <b/>
            <sz val="8"/>
            <rFont val="Tahoma"/>
            <family val="2"/>
          </rPr>
          <t>Diameter of drilled hole in inches.</t>
        </r>
        <r>
          <rPr>
            <sz val="8"/>
            <rFont val="Tahoma"/>
            <family val="0"/>
          </rPr>
          <t xml:space="preserve">
</t>
        </r>
      </text>
    </comment>
    <comment ref="A5" authorId="0">
      <text>
        <r>
          <rPr>
            <b/>
            <sz val="8"/>
            <rFont val="Tahoma"/>
            <family val="2"/>
          </rPr>
          <t>Length of active carbon fill in feet.</t>
        </r>
        <r>
          <rPr>
            <sz val="8"/>
            <rFont val="Tahoma"/>
            <family val="0"/>
          </rPr>
          <t xml:space="preserve">
</t>
        </r>
      </text>
    </comment>
    <comment ref="A6" authorId="0">
      <text>
        <r>
          <rPr>
            <b/>
            <sz val="8"/>
            <rFont val="Tahoma"/>
            <family val="2"/>
          </rPr>
          <t>Number of drilled holes.</t>
        </r>
        <r>
          <rPr>
            <sz val="8"/>
            <rFont val="Tahoma"/>
            <family val="0"/>
          </rPr>
          <t xml:space="preserve">
</t>
        </r>
        <r>
          <rPr>
            <b/>
            <sz val="8"/>
            <rFont val="Tahoma"/>
            <family val="2"/>
          </rPr>
          <t>(MAXIMUM NUMBER = 50)</t>
        </r>
      </text>
    </comment>
    <comment ref="A7" authorId="0">
      <text>
        <r>
          <rPr>
            <b/>
            <sz val="8"/>
            <rFont val="Tahoma"/>
            <family val="2"/>
          </rPr>
          <t>Average soil resistivity in Ohm-cm within the active carbon column area.</t>
        </r>
        <r>
          <rPr>
            <sz val="8"/>
            <rFont val="Tahoma"/>
            <family val="0"/>
          </rPr>
          <t xml:space="preserve">
</t>
        </r>
      </text>
    </comment>
    <comment ref="A8" authorId="0">
      <text>
        <r>
          <rPr>
            <b/>
            <sz val="8"/>
            <rFont val="Tahoma"/>
            <family val="2"/>
          </rPr>
          <t>Center-to-center spacing between vertical holes in feet.</t>
        </r>
        <r>
          <rPr>
            <sz val="8"/>
            <rFont val="Tahoma"/>
            <family val="0"/>
          </rPr>
          <t xml:space="preserve">
</t>
        </r>
      </text>
    </comment>
    <comment ref="A9" authorId="0">
      <text>
        <r>
          <rPr>
            <b/>
            <sz val="8"/>
            <rFont val="Tahoma"/>
            <family val="2"/>
          </rPr>
          <t>This Distance allows calculation of the resistance added by the header cable. Distance is in feet.</t>
        </r>
        <r>
          <rPr>
            <sz val="8"/>
            <rFont val="Tahoma"/>
            <family val="0"/>
          </rPr>
          <t xml:space="preserve">
</t>
        </r>
      </text>
    </comment>
    <comment ref="A10" authorId="0">
      <text>
        <r>
          <rPr>
            <b/>
            <sz val="8"/>
            <rFont val="Tahoma"/>
            <family val="2"/>
          </rPr>
          <t>Wire size based on American Wire Gauge (AWG) sizes. (Acceptable sizes 10, 8, 6, 4, 2, 1/0, 2/0 &amp; 4/0 only).</t>
        </r>
        <r>
          <rPr>
            <sz val="8"/>
            <rFont val="Tahoma"/>
            <family val="0"/>
          </rPr>
          <t xml:space="preserve">
</t>
        </r>
      </text>
    </comment>
    <comment ref="B1" authorId="0">
      <text>
        <r>
          <rPr>
            <b/>
            <sz val="8"/>
            <rFont val="Tahoma"/>
            <family val="2"/>
          </rPr>
          <t>CONTACT INFO:</t>
        </r>
        <r>
          <rPr>
            <sz val="8"/>
            <rFont val="Tahoma"/>
            <family val="0"/>
          </rPr>
          <t xml:space="preserve">
</t>
        </r>
        <r>
          <rPr>
            <b/>
            <sz val="8"/>
            <rFont val="Tahoma"/>
            <family val="2"/>
          </rPr>
          <t>PHONE: 601-544-7490
FAX: 601-544-7531
E-MAIL: info@loresco.com</t>
        </r>
      </text>
    </comment>
    <comment ref="A11" authorId="0">
      <text>
        <r>
          <rPr>
            <b/>
            <sz val="8"/>
            <rFont val="Tahoma"/>
            <family val="0"/>
          </rPr>
          <t>Choose D (Deep) or S (Surface) anodes.</t>
        </r>
        <r>
          <rPr>
            <sz val="8"/>
            <rFont val="Tahoma"/>
            <family val="0"/>
          </rPr>
          <t xml:space="preserve">
</t>
        </r>
      </text>
    </comment>
  </commentList>
</comments>
</file>

<file path=xl/comments3.xml><?xml version="1.0" encoding="utf-8"?>
<comments xmlns="http://schemas.openxmlformats.org/spreadsheetml/2006/main">
  <authors>
    <author>Thomas H Lewis, Jr</author>
  </authors>
  <commentList>
    <comment ref="B1" authorId="0">
      <text>
        <r>
          <rPr>
            <b/>
            <sz val="8"/>
            <rFont val="Tahoma"/>
            <family val="2"/>
          </rPr>
          <t>CONTACT INFO:
PHONE: 601-544-7490
FAX: 601-544-7531
E-MAIL: info@loresco.com</t>
        </r>
      </text>
    </comment>
    <comment ref="A8" authorId="0">
      <text>
        <r>
          <rPr>
            <b/>
            <sz val="8"/>
            <rFont val="Tahoma"/>
            <family val="2"/>
          </rPr>
          <t>Average soil resistivity in Ohm-cm within the active carbon area.</t>
        </r>
      </text>
    </comment>
    <comment ref="A22" authorId="0">
      <text>
        <r>
          <rPr>
            <b/>
            <sz val="8"/>
            <rFont val="Tahoma"/>
            <family val="2"/>
          </rPr>
          <t>Average soil resistivity in Ohm-cm within the active carbon area.</t>
        </r>
      </text>
    </comment>
    <comment ref="A4" authorId="0">
      <text>
        <r>
          <rPr>
            <b/>
            <sz val="8"/>
            <rFont val="Tahoma"/>
            <family val="2"/>
          </rPr>
          <t>Width of the trench to be filled in inches.</t>
        </r>
      </text>
    </comment>
    <comment ref="A18" authorId="0">
      <text>
        <r>
          <rPr>
            <b/>
            <sz val="8"/>
            <rFont val="Tahoma"/>
            <family val="2"/>
          </rPr>
          <t>Width of the trench to be filled in inches.</t>
        </r>
      </text>
    </comment>
    <comment ref="A5" authorId="0">
      <text>
        <r>
          <rPr>
            <b/>
            <sz val="8"/>
            <rFont val="Tahoma"/>
            <family val="2"/>
          </rPr>
          <t>Total Thickness of LORESCO to be installed in the trench in inches.</t>
        </r>
      </text>
    </comment>
    <comment ref="A19" authorId="0">
      <text>
        <r>
          <rPr>
            <b/>
            <sz val="8"/>
            <rFont val="Tahoma"/>
            <family val="2"/>
          </rPr>
          <t>Total Thickness of LORESCO to be installed in the trench in inches.</t>
        </r>
      </text>
    </comment>
    <comment ref="A6" authorId="0">
      <text>
        <r>
          <rPr>
            <b/>
            <sz val="8"/>
            <rFont val="Tahoma"/>
            <family val="2"/>
          </rPr>
          <t>Total length of trench to be filled for one anode in feet.</t>
        </r>
      </text>
    </comment>
    <comment ref="A20" authorId="0">
      <text>
        <r>
          <rPr>
            <b/>
            <sz val="8"/>
            <rFont val="Tahoma"/>
            <family val="2"/>
          </rPr>
          <t>Total length of trench to be filled in feet.</t>
        </r>
      </text>
    </comment>
    <comment ref="A7" authorId="0">
      <text>
        <r>
          <rPr>
            <b/>
            <sz val="8"/>
            <rFont val="Tahoma"/>
            <family val="2"/>
          </rPr>
          <t>Depth from ground- level to center of anode in feet.</t>
        </r>
        <r>
          <rPr>
            <sz val="8"/>
            <rFont val="Tahoma"/>
            <family val="0"/>
          </rPr>
          <t xml:space="preserve">
</t>
        </r>
      </text>
    </comment>
    <comment ref="A21" authorId="0">
      <text>
        <r>
          <rPr>
            <b/>
            <sz val="8"/>
            <rFont val="Tahoma"/>
            <family val="2"/>
          </rPr>
          <t>Depth from ground- level to center of anode in feet.</t>
        </r>
      </text>
    </comment>
    <comment ref="A9" authorId="0">
      <text>
        <r>
          <rPr>
            <b/>
            <sz val="8"/>
            <rFont val="Tahoma"/>
            <family val="2"/>
          </rPr>
          <t>Total number of carbon trenches.</t>
        </r>
      </text>
    </comment>
    <comment ref="A10" authorId="0">
      <text>
        <r>
          <rPr>
            <b/>
            <sz val="8"/>
            <rFont val="Tahoma"/>
            <family val="2"/>
          </rPr>
          <t>Center-to-center Distance between individual anodes.
MUST BE &gt; LENGTH OF FILL</t>
        </r>
        <r>
          <rPr>
            <sz val="8"/>
            <rFont val="Tahoma"/>
            <family val="0"/>
          </rPr>
          <t xml:space="preserve">
</t>
        </r>
      </text>
    </comment>
    <comment ref="A11" authorId="0">
      <text>
        <r>
          <rPr>
            <b/>
            <sz val="8"/>
            <rFont val="Tahoma"/>
            <family val="2"/>
          </rPr>
          <t>This Distance allows calculation of the resistance added by the header cable. Distance is in feet.</t>
        </r>
      </text>
    </comment>
    <comment ref="A12" authorId="0">
      <text>
        <r>
          <rPr>
            <b/>
            <sz val="8"/>
            <rFont val="Tahoma"/>
            <family val="2"/>
          </rPr>
          <t>Wire size based on American Wire Gauge (AWG) sizes. (Acceptable sizes 10, 8, 6, 4, 2, 1/0, 2/0 &amp; 4/0 only).</t>
        </r>
      </text>
    </comment>
    <comment ref="A24" authorId="0">
      <text>
        <r>
          <rPr>
            <b/>
            <sz val="8"/>
            <rFont val="Tahoma"/>
            <family val="2"/>
          </rPr>
          <t>Wire size based on American Wire Gauge (AWG) sizes. (Acceptable sizes 10, 8, 6, 4, 2, 1/0, 2/0 &amp; 4/0 only).</t>
        </r>
      </text>
    </comment>
    <comment ref="A23" authorId="0">
      <text>
        <r>
          <rPr>
            <b/>
            <sz val="8"/>
            <rFont val="Tahoma"/>
            <family val="2"/>
          </rPr>
          <t>This Distance allows calculation of the resistance added by the header cable. Distance is in feet.</t>
        </r>
      </text>
    </comment>
  </commentList>
</comments>
</file>

<file path=xl/comments4.xml><?xml version="1.0" encoding="utf-8"?>
<comments xmlns="http://schemas.openxmlformats.org/spreadsheetml/2006/main">
  <authors>
    <author>Thomas H Lewis, Jr</author>
  </authors>
  <commentList>
    <comment ref="A6" authorId="0">
      <text>
        <r>
          <rPr>
            <b/>
            <sz val="8"/>
            <rFont val="Tahoma"/>
            <family val="2"/>
          </rPr>
          <t>Resistivity of soil in zone where anodes are placed.</t>
        </r>
        <r>
          <rPr>
            <sz val="8"/>
            <rFont val="Tahoma"/>
            <family val="0"/>
          </rPr>
          <t xml:space="preserve">
</t>
        </r>
      </text>
    </comment>
    <comment ref="A7" authorId="0">
      <text>
        <r>
          <rPr>
            <b/>
            <sz val="8"/>
            <rFont val="Tahoma"/>
            <family val="0"/>
          </rPr>
          <t>Anticipated thickness of the low resistivity layer used for anode placement.</t>
        </r>
        <r>
          <rPr>
            <sz val="8"/>
            <rFont val="Tahoma"/>
            <family val="0"/>
          </rPr>
          <t xml:space="preserve">
</t>
        </r>
      </text>
    </comment>
    <comment ref="A5" authorId="0">
      <text>
        <r>
          <rPr>
            <b/>
            <sz val="8"/>
            <rFont val="Tahoma"/>
            <family val="0"/>
          </rPr>
          <t xml:space="preserve">Standard casing size to be considered for the design. Sizes are nominal size. Actual OD is 4.5 and 6.625 in., respectively. If in doubt, always try the smaller size first.
IN THE EVENT A LARGER CASING SIZE IS DESIRED, CONTACT LORESCO FOR ASSISTANCE.
</t>
        </r>
      </text>
    </comment>
    <comment ref="A10" authorId="0">
      <text>
        <r>
          <rPr>
            <b/>
            <sz val="8"/>
            <rFont val="Tahoma"/>
            <family val="0"/>
          </rPr>
          <t>The RECOMMENDED DESIGN should be carefully reviewed by an engineer familiar with deep anode installations. This calculator is designed to provide guidelines only using current density and resistance considerations. Specific questions can be addressed to Loresco engineers by calling 601-544-7490 or emailing info@loresco.com.</t>
        </r>
      </text>
    </comment>
    <comment ref="A4" authorId="0">
      <text>
        <r>
          <rPr>
            <b/>
            <sz val="8"/>
            <rFont val="Tahoma"/>
            <family val="0"/>
          </rPr>
          <t>This is the maximum design current output after allowing reasonable safety factors.</t>
        </r>
        <r>
          <rPr>
            <sz val="8"/>
            <rFont val="Tahoma"/>
            <family val="0"/>
          </rPr>
          <t xml:space="preserve">
</t>
        </r>
      </text>
    </comment>
    <comment ref="A11" authorId="0">
      <text>
        <r>
          <rPr>
            <b/>
            <sz val="8"/>
            <rFont val="Tahoma"/>
            <family val="0"/>
          </rPr>
          <t>This is the Minimum length of active discharge based on maximum of 150 mA/ft2 at carbon/earth interface.</t>
        </r>
      </text>
    </comment>
    <comment ref="A12" authorId="0">
      <text>
        <r>
          <rPr>
            <b/>
            <sz val="8"/>
            <rFont val="Tahoma"/>
            <family val="0"/>
          </rPr>
          <t>This is the recommended hole diameter allowing adequate clearance for installation and  carbon fill external to the casing.</t>
        </r>
        <r>
          <rPr>
            <sz val="8"/>
            <rFont val="Tahoma"/>
            <family val="0"/>
          </rPr>
          <t xml:space="preserve">
</t>
        </r>
      </text>
    </comment>
    <comment ref="A13" authorId="0">
      <text>
        <r>
          <rPr>
            <b/>
            <sz val="8"/>
            <rFont val="Tahoma"/>
            <family val="0"/>
          </rPr>
          <t xml:space="preserve">In the event the thickness of low resistivity stratum is inadequate to provide the minimum active length, parallel systems can be installed. If the number suggested here is greater than 3, other considerations should be carefully investigated before proceeding. </t>
        </r>
        <r>
          <rPr>
            <sz val="8"/>
            <rFont val="Tahoma"/>
            <family val="0"/>
          </rPr>
          <t xml:space="preserve">
</t>
        </r>
      </text>
    </comment>
    <comment ref="C13" authorId="0">
      <text>
        <r>
          <rPr>
            <b/>
            <sz val="8"/>
            <rFont val="Tahoma"/>
            <family val="0"/>
          </rPr>
          <t>If you wish to calculate the Resistance-to-earth using other spacings, change the spacing at cell E35.</t>
        </r>
        <r>
          <rPr>
            <sz val="8"/>
            <rFont val="Tahoma"/>
            <family val="0"/>
          </rPr>
          <t xml:space="preserve">
</t>
        </r>
      </text>
    </comment>
    <comment ref="A14" authorId="0">
      <text>
        <r>
          <rPr>
            <b/>
            <sz val="8"/>
            <rFont val="Tahoma"/>
            <family val="0"/>
          </rPr>
          <t>This is the total resistance-to-earth based on the number of parallel holes indicated. This resistance does not consider wire resistances or structure-to-earth resistances, which may be significant in specific cases.</t>
        </r>
        <r>
          <rPr>
            <sz val="8"/>
            <rFont val="Tahoma"/>
            <family val="0"/>
          </rPr>
          <t xml:space="preserve">
</t>
        </r>
      </text>
    </comment>
    <comment ref="A1" authorId="0">
      <text>
        <r>
          <rPr>
            <b/>
            <sz val="8"/>
            <rFont val="Tahoma"/>
            <family val="2"/>
          </rPr>
          <t>CONTACT INFO:
PHONE: 601-544-7490
FAX: 601-544-7531
E-MAIL: info@loresco.com</t>
        </r>
      </text>
    </comment>
  </commentList>
</comments>
</file>

<file path=xl/sharedStrings.xml><?xml version="1.0" encoding="utf-8"?>
<sst xmlns="http://schemas.openxmlformats.org/spreadsheetml/2006/main" count="311" uniqueCount="215">
  <si>
    <t>Product</t>
  </si>
  <si>
    <t>Bulk Density</t>
  </si>
  <si>
    <t>SW</t>
  </si>
  <si>
    <t>SWK</t>
  </si>
  <si>
    <t>SWS</t>
  </si>
  <si>
    <t>DW1</t>
  </si>
  <si>
    <t>SC2</t>
  </si>
  <si>
    <t>SC3</t>
  </si>
  <si>
    <t>EnviroCoke IV</t>
  </si>
  <si>
    <t>FlexFill</t>
  </si>
  <si>
    <t>PermaPlug</t>
  </si>
  <si>
    <t>PowerFill</t>
  </si>
  <si>
    <t>PowerSet</t>
  </si>
  <si>
    <r>
      <t>lb/ft</t>
    </r>
    <r>
      <rPr>
        <vertAlign val="superscript"/>
        <sz val="10"/>
        <rFont val="Arial"/>
        <family val="2"/>
      </rPr>
      <t>3</t>
    </r>
  </si>
  <si>
    <t>Diameter</t>
  </si>
  <si>
    <t>Fill Length</t>
  </si>
  <si>
    <t>Vertical Hole Info</t>
  </si>
  <si>
    <t>Horizontal Trench Info</t>
  </si>
  <si>
    <t>Width</t>
  </si>
  <si>
    <t>Fill thickness</t>
  </si>
  <si>
    <t>Length</t>
  </si>
  <si>
    <t>inches</t>
  </si>
  <si>
    <t>feet</t>
  </si>
  <si>
    <t># Holes</t>
  </si>
  <si>
    <t># Trenches</t>
  </si>
  <si>
    <t>LORESCO® PRODUCT REQUIREMENT CALCULATOR</t>
  </si>
  <si>
    <t>Notes:</t>
  </si>
  <si>
    <t xml:space="preserve">1) For Vertical Hole: Enter Diameter(inches) and Carbon Fill Length(feet) in row for specific Loresco product. </t>
  </si>
  <si>
    <t xml:space="preserve">2) For Horizontal Trench: Enter width(inches), Fill thickness(inches), and Length(feet) of trench in row for </t>
  </si>
  <si>
    <t>specific Loresco product. If multiple trenches, enter number of trenches. Click cell outside of calculator</t>
  </si>
  <si>
    <t>or hit "Enter to complete calculation.</t>
  </si>
  <si>
    <t>LORESCO® GROUNDBED RESISTANCE CALCULATOR</t>
  </si>
  <si>
    <t>INPUT VALUES</t>
  </si>
  <si>
    <t>Diameter of hole</t>
  </si>
  <si>
    <t>Length of Carbon Fill</t>
  </si>
  <si>
    <t>Number of holes</t>
  </si>
  <si>
    <t>Spacing between holes</t>
  </si>
  <si>
    <t>Distance between rectifier &amp; 1st Anode</t>
  </si>
  <si>
    <t>Size of header cable</t>
  </si>
  <si>
    <t>Ohms</t>
  </si>
  <si>
    <t>AWG</t>
  </si>
  <si>
    <t>Width of trench</t>
  </si>
  <si>
    <t>Thickness of carbon fill</t>
  </si>
  <si>
    <t>Average soil resistivity</t>
  </si>
  <si>
    <t>ohm-cm</t>
  </si>
  <si>
    <t>Ratio of current output (1st to last anode)</t>
  </si>
  <si>
    <t>Wire Table</t>
  </si>
  <si>
    <t>1/0</t>
  </si>
  <si>
    <t>2/0</t>
  </si>
  <si>
    <t>4/0</t>
  </si>
  <si>
    <t>Ohms/ft</t>
  </si>
  <si>
    <t>Intermediate Results</t>
  </si>
  <si>
    <t>Vertical Anode</t>
  </si>
  <si>
    <t>R=</t>
  </si>
  <si>
    <t>g=</t>
  </si>
  <si>
    <t xml:space="preserve">r= </t>
  </si>
  <si>
    <t>8</t>
  </si>
  <si>
    <t>6</t>
  </si>
  <si>
    <t>4</t>
  </si>
  <si>
    <t>2</t>
  </si>
  <si>
    <t>10</t>
  </si>
  <si>
    <r>
      <t>a</t>
    </r>
    <r>
      <rPr>
        <sz val="10"/>
        <rFont val="Arial"/>
        <family val="0"/>
      </rPr>
      <t>=</t>
    </r>
  </si>
  <si>
    <r>
      <t>R</t>
    </r>
    <r>
      <rPr>
        <vertAlign val="subscript"/>
        <sz val="10"/>
        <rFont val="Arial"/>
        <family val="2"/>
      </rPr>
      <t>G</t>
    </r>
    <r>
      <rPr>
        <sz val="10"/>
        <rFont val="Arial"/>
        <family val="2"/>
      </rPr>
      <t>=</t>
    </r>
  </si>
  <si>
    <r>
      <t>R</t>
    </r>
    <r>
      <rPr>
        <vertAlign val="subscript"/>
        <sz val="10"/>
        <rFont val="Arial"/>
        <family val="2"/>
      </rPr>
      <t>SO</t>
    </r>
    <r>
      <rPr>
        <sz val="10"/>
        <rFont val="Arial"/>
        <family val="0"/>
      </rPr>
      <t>=</t>
    </r>
  </si>
  <si>
    <r>
      <t>E</t>
    </r>
    <r>
      <rPr>
        <vertAlign val="subscript"/>
        <sz val="10"/>
        <rFont val="Arial"/>
        <family val="2"/>
      </rPr>
      <t>S</t>
    </r>
    <r>
      <rPr>
        <sz val="10"/>
        <rFont val="Arial"/>
        <family val="0"/>
      </rPr>
      <t>=</t>
    </r>
  </si>
  <si>
    <r>
      <t>I</t>
    </r>
    <r>
      <rPr>
        <vertAlign val="subscript"/>
        <sz val="10"/>
        <rFont val="Arial"/>
        <family val="2"/>
      </rPr>
      <t>S</t>
    </r>
    <r>
      <rPr>
        <sz val="10"/>
        <rFont val="Arial"/>
        <family val="0"/>
      </rPr>
      <t>=</t>
    </r>
  </si>
  <si>
    <t>Ratio=</t>
  </si>
  <si>
    <r>
      <t>E</t>
    </r>
    <r>
      <rPr>
        <vertAlign val="subscript"/>
        <sz val="10"/>
        <rFont val="Arial"/>
        <family val="2"/>
      </rPr>
      <t>r</t>
    </r>
    <r>
      <rPr>
        <sz val="10"/>
        <rFont val="Arial"/>
        <family val="0"/>
      </rPr>
      <t>=</t>
    </r>
  </si>
  <si>
    <t>Cable res.</t>
  </si>
  <si>
    <t>Total Res.</t>
  </si>
  <si>
    <t>NOTES:</t>
  </si>
  <si>
    <t xml:space="preserve">resistance of cable to 1st anode. (Structure </t>
  </si>
  <si>
    <t>resistance not included.)</t>
  </si>
  <si>
    <t>also indicates the anticipated failure rate variation</t>
  </si>
  <si>
    <t>from 1st anode to last anode. For example, if ratio is</t>
  </si>
  <si>
    <t xml:space="preserve">1.10, this means that the 1st anode is discharging </t>
  </si>
  <si>
    <t>data entry point. Hit "Enter" to complete calculation.</t>
  </si>
  <si>
    <t xml:space="preserve">3) Inputs must be in units indicated to the right of the </t>
  </si>
  <si>
    <t>width=b4</t>
  </si>
  <si>
    <t>thk=b5</t>
  </si>
  <si>
    <t>length=b6</t>
  </si>
  <si>
    <t>Depth to center of anode</t>
  </si>
  <si>
    <t>depth=b7</t>
  </si>
  <si>
    <t>resistivity=b8</t>
  </si>
  <si>
    <t>Dia.=</t>
  </si>
  <si>
    <t>Depth to center of anodes</t>
  </si>
  <si>
    <t>Number of individual anodes</t>
  </si>
  <si>
    <t>Width of carbon fill</t>
  </si>
  <si>
    <t>Length of carbon fill per anode</t>
  </si>
  <si>
    <t>Cont. Horizontal Anode</t>
  </si>
  <si>
    <t>Non-cont. Multiple anode</t>
  </si>
  <si>
    <t>Resistance (attenuation effect included)</t>
  </si>
  <si>
    <t>RT=</t>
  </si>
  <si>
    <t>Center-to-center distance between anodes</t>
  </si>
  <si>
    <t>no. anode=b9</t>
  </si>
  <si>
    <t>anode sp=b10</t>
  </si>
  <si>
    <t>wire lgth=b11</t>
  </si>
  <si>
    <t>wire size=b12</t>
  </si>
  <si>
    <t>dia.=f50</t>
  </si>
  <si>
    <t>width=b18</t>
  </si>
  <si>
    <t>thk=b19</t>
  </si>
  <si>
    <t>length=b20</t>
  </si>
  <si>
    <t>depth=b21</t>
  </si>
  <si>
    <t>resistivity=b22</t>
  </si>
  <si>
    <t>cable len=b23</t>
  </si>
  <si>
    <t>cable size=b24</t>
  </si>
  <si>
    <t>Resistance (positive cable included)</t>
  </si>
  <si>
    <t>Length of LORESCO Fill</t>
  </si>
  <si>
    <t>10% more current and will fail 10% faster.</t>
  </si>
  <si>
    <t>(Structure resistance is not included.)</t>
  </si>
  <si>
    <t>2) Resistance includes attenuation effects and</t>
  </si>
  <si>
    <t>3) Ratio of current output (1st anode to last anode)</t>
  </si>
  <si>
    <t xml:space="preserve">4) Inputs must be in units indicated to the right of the </t>
  </si>
  <si>
    <t>1) Any one or more input values may be changed.</t>
  </si>
  <si>
    <t>2) Resistance includes positive cable resistance.</t>
  </si>
  <si>
    <t>of cable to 1st anode. (Structure resistance not included.)</t>
  </si>
  <si>
    <t>2) Resistance includes attenuation effects and resistance</t>
  </si>
  <si>
    <t>3) Ratio of current output (1st anode to last anode) also</t>
  </si>
  <si>
    <t>indicates the anticipated failure rate variation from 1st anode</t>
  </si>
  <si>
    <t>to last anode. For example, if ratio is 1.10, this means that</t>
  </si>
  <si>
    <t>the 1st anode is discharging 10% more current and</t>
  </si>
  <si>
    <t>will fail 10% faster.</t>
  </si>
  <si>
    <t>entry point. Hit "Enter" to complete calculation.</t>
  </si>
  <si>
    <t xml:space="preserve">4) Inputs must be in units indicated to the right of the data </t>
  </si>
  <si>
    <t>3) Hints &amp; notes available at locations with small red triangle in corner of cell. Roll pointer over cell.</t>
  </si>
  <si>
    <t xml:space="preserve">LORESCO </t>
  </si>
  <si>
    <t>Qty, lbs</t>
  </si>
  <si>
    <t>LORESCO</t>
  </si>
  <si>
    <t xml:space="preserve"> Qty, lbs</t>
  </si>
  <si>
    <t>1) Uniform, homogeneous soil with constant resistivity assumed.</t>
  </si>
  <si>
    <t>Calculator Assumptions &amp; Limitations:</t>
  </si>
  <si>
    <t xml:space="preserve">Calculator Assumptions &amp; Limitations: </t>
  </si>
  <si>
    <t>for vertical anodes. Error using this estimate is unknown, but estimates appear reasonable.</t>
  </si>
  <si>
    <t xml:space="preserve">for the use of these programs. Since assumptions and validity vary from case to case, engineering expertise is advised </t>
  </si>
  <si>
    <t xml:space="preserve">for valid interpretation and use of the calculators. </t>
  </si>
  <si>
    <t>NOTICE: Although Loresco has made every effort to insure that these calculators generate valid results within the</t>
  </si>
  <si>
    <t>a continuous column of low resistivity carbon.</t>
  </si>
  <si>
    <t>2) Horizontal anode installations containing multiple anodes in a single trench are treated as a single anode if backfilled with</t>
  </si>
  <si>
    <t>3) Resistance for single continuous anode is based on Dwight's equation for single, horizontal anode.</t>
  </si>
  <si>
    <t>OTHER CALCULATORS ARE SELECTED BY CLICKING ON APPROPRIATE WORKSHEET TAB</t>
  </si>
  <si>
    <t>Design Current Output</t>
  </si>
  <si>
    <t>Amps</t>
  </si>
  <si>
    <t>Thickness of Low Resistivity Stratum</t>
  </si>
  <si>
    <t>Inches</t>
  </si>
  <si>
    <t>Feet</t>
  </si>
  <si>
    <t>Resistivity of Discharge Stratum</t>
  </si>
  <si>
    <t>Ohm-cm</t>
  </si>
  <si>
    <t>RECOMMENDED DESIGN</t>
  </si>
  <si>
    <t>Recommended Hole Diameter</t>
  </si>
  <si>
    <t>Resistance-to-Earth of RDA System</t>
  </si>
  <si>
    <t>Desired Casing Size (4 or 6 In. only)</t>
  </si>
  <si>
    <t>VALUE</t>
  </si>
  <si>
    <t>UNITS</t>
  </si>
  <si>
    <t>ENTRY STATUS</t>
  </si>
  <si>
    <t>Effective Length</t>
  </si>
  <si>
    <t>Slotted Casing Recommended to the next whole number of casing joints.</t>
  </si>
  <si>
    <t>between separation distance and reduced resistance-to-earth.</t>
  </si>
  <si>
    <t>Choose Spacing</t>
  </si>
  <si>
    <t>Intermediate Calculations - No Changes Below this line (Except Spacing).</t>
  </si>
  <si>
    <t xml:space="preserve">             LORESCO REPLACEABLE DEEP ANODE SYSTEM DESIGN CALCULATOR</t>
  </si>
  <si>
    <r>
      <t>Assumes spacing = 50 feet</t>
    </r>
    <r>
      <rPr>
        <b/>
        <sz val="10"/>
        <rFont val="Arial"/>
        <family val="2"/>
      </rPr>
      <t>*</t>
    </r>
  </si>
  <si>
    <t>2) Standard casing lengths are 20 feet. When ordering casing, you must round up the Minimum Length</t>
  </si>
  <si>
    <t>3) The Resistance-to-earth estimate is based on an active discharge length equal to the Minimum Length</t>
  </si>
  <si>
    <t xml:space="preserve">4) An assumed spacing of 50 feet between paralleled deep anode systems is chosen as a compromise </t>
  </si>
  <si>
    <t xml:space="preserve">6) For calculations on this page to be valid, the depth of the top of the carbon must be much greater than </t>
  </si>
  <si>
    <t>1) The RECOMMENDED DESIGN should be carefully reviewed by an engineer familiar with deep anode</t>
  </si>
  <si>
    <t xml:space="preserve">installations. This calculator is intended to provide guidelines only using current density and resistance </t>
  </si>
  <si>
    <t>considerations. Specific site conditions may require other considerations.</t>
  </si>
  <si>
    <t>Parallel Resist.</t>
  </si>
  <si>
    <t>Single Resist.</t>
  </si>
  <si>
    <t>5) You may change the assumed spacing* by entering a value at location E35.</t>
  </si>
  <si>
    <t>7) Minimum casing length is based on maximum current density at carbon/earth interface of 150 mA/ft2.</t>
  </si>
  <si>
    <t xml:space="preserve">the Effective Length indicated at E36. Sunde's equations for deep anodes are used in the resistance-to-earth </t>
  </si>
  <si>
    <t xml:space="preserve">calculation. Mutual interference effects are based on Sunde's simplified estimate with spacing distances equal to or </t>
  </si>
  <si>
    <t>Slotted Casing Recommended. If the casing length is increased, recalculate using the Vertical Resistance Calculator.</t>
  </si>
  <si>
    <t>greater than active carbon length.</t>
  </si>
  <si>
    <t>Total Minimum Length Slotted Casing</t>
  </si>
  <si>
    <t xml:space="preserve">MULTIPLE VERTICAL ANODES CONNECTED TO SINGLE HEADER CABLE </t>
  </si>
  <si>
    <t xml:space="preserve">2) Resistance calculation based on Sunde's equation with mutual interference correction.  </t>
  </si>
  <si>
    <t>RS</t>
  </si>
  <si>
    <t>i</t>
  </si>
  <si>
    <t>i term</t>
  </si>
  <si>
    <t>N</t>
  </si>
  <si>
    <t>Mutual R term</t>
  </si>
  <si>
    <t>RMS</t>
  </si>
  <si>
    <t>RS (short)</t>
  </si>
  <si>
    <t>Deep or Surface Anode (enter D or S)</t>
  </si>
  <si>
    <t>Resistance (with Attenuation effect included)</t>
  </si>
  <si>
    <t xml:space="preserve">3) If number of holes entered at B6 is greater than 50 for surface anodes or 20 for deep anodes, the mutual </t>
  </si>
  <si>
    <t xml:space="preserve"> interference effects are estimated based on Sunde's simplified  formula with spacing distances equal to or </t>
  </si>
  <si>
    <t xml:space="preserve">greater than carbon fill length, L. </t>
  </si>
  <si>
    <t>4) Vertical anode installations containing multiple anodes in a single hole are treated as a single anode if backfilled</t>
  </si>
  <si>
    <t xml:space="preserve"> with a continuous column of low resistivity carbon.</t>
  </si>
  <si>
    <t>INTERMEDIATE RESULTS: MAKE NO CHANGES BELOW LINE:</t>
  </si>
  <si>
    <t xml:space="preserve">Wire Table at Right may be changed, but </t>
  </si>
  <si>
    <t>i term Deep</t>
  </si>
  <si>
    <t xml:space="preserve"> resistance must be in Ohms/ft:</t>
  </si>
  <si>
    <t>RD (short)</t>
  </si>
  <si>
    <t>RD</t>
  </si>
  <si>
    <t>RMD</t>
  </si>
  <si>
    <t>5) Surface anodes are assumed to have the top of the anode at the earth's surface, and deep anodes are</t>
  </si>
  <si>
    <t xml:space="preserve">assumed to be infinitely deep within the earth. For the Deep anode model to produce reasonably accurate results, the </t>
  </si>
  <si>
    <t>depth to the top of the discharge column must be much greater than the length of the discharge column.</t>
  </si>
  <si>
    <t>INTERMEDIATE RESULTS: NO CHANGES BELOW LINE:</t>
  </si>
  <si>
    <t>Developed by: T. H. Lewis, Jr, PE</t>
  </si>
  <si>
    <t>S</t>
  </si>
  <si>
    <t xml:space="preserve"> If multiple holes, enter number of holes. Click cell outside of calculator or hit "Enter" to complete calculation.</t>
  </si>
  <si>
    <t>assumptions and limitations listed, neither Loresco nor any of its employees or agents warrants nor accepts any liability</t>
  </si>
  <si>
    <t>MULTIPLE HORIZONTAL ANODES CONNECTED TO SINGLE HEADER CABLE - NON-CONTINUOUS CARBON FILL</t>
  </si>
  <si>
    <t>SINGLE HORIZONTAL ANODE - CONTINUOUS CARBON FILL</t>
  </si>
  <si>
    <t xml:space="preserve">4) For Multiple, Non-continuous anodes, mutual interference effects are estimated using Sunde's simplified equation </t>
  </si>
  <si>
    <t>Number of Parallel Holes Required</t>
  </si>
  <si>
    <t>RS3</t>
  </si>
  <si>
    <t>Version: 2.5E</t>
  </si>
  <si>
    <t>Revised: October 8, 2008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</si>
</sst>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5">
    <font>
      <sz val="10"/>
      <name val="Arial"/>
      <family val="0"/>
    </font>
    <font>
      <vertAlign val="superscript"/>
      <sz val="10"/>
      <name val="Arial"/>
      <family val="2"/>
    </font>
    <font>
      <sz val="8"/>
      <name val="Arial"/>
      <family val="0"/>
    </font>
    <font>
      <b/>
      <sz val="10"/>
      <name val="Arial"/>
      <family val="2"/>
    </font>
    <font>
      <b/>
      <i/>
      <sz val="10"/>
      <name val="Arial"/>
      <family val="2"/>
    </font>
    <font>
      <sz val="10"/>
      <name val="Symbol"/>
      <family val="1"/>
    </font>
    <font>
      <vertAlign val="subscript"/>
      <sz val="10"/>
      <name val="Arial"/>
      <family val="2"/>
    </font>
    <font>
      <sz val="9"/>
      <name val="Arial"/>
      <family val="0"/>
    </font>
    <font>
      <sz val="8"/>
      <name val="Tahoma"/>
      <family val="0"/>
    </font>
    <font>
      <b/>
      <sz val="8"/>
      <name val="Tahoma"/>
      <family val="0"/>
    </font>
    <font>
      <b/>
      <sz val="10"/>
      <color indexed="10"/>
      <name val="Arial"/>
      <family val="2"/>
    </font>
    <font>
      <sz val="10"/>
      <color indexed="10"/>
      <name val="Arial"/>
      <family val="2"/>
    </font>
    <font>
      <u val="single"/>
      <sz val="10"/>
      <color indexed="36"/>
      <name val="Arial"/>
      <family val="0"/>
    </font>
    <font>
      <u val="single"/>
      <sz val="10"/>
      <color indexed="12"/>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s>
  <borders count="70">
    <border>
      <left/>
      <right/>
      <top/>
      <bottom/>
      <diagonal/>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style="thick"/>
    </border>
    <border>
      <left>
        <color indexed="63"/>
      </left>
      <right style="medium"/>
      <top style="medium"/>
      <bottom style="thick"/>
    </border>
    <border>
      <left style="medium"/>
      <right style="medium"/>
      <top style="medium"/>
      <bottom style="thick"/>
    </border>
    <border>
      <left>
        <color indexed="63"/>
      </left>
      <right style="medium"/>
      <top style="medium"/>
      <bottom style="medium"/>
    </border>
    <border>
      <left style="medium"/>
      <right style="medium"/>
      <top style="medium"/>
      <bottom style="medium"/>
    </border>
    <border>
      <left style="medium"/>
      <right style="thick"/>
      <top style="medium"/>
      <bottom style="medium"/>
    </border>
    <border>
      <left>
        <color indexed="63"/>
      </left>
      <right style="thick"/>
      <top style="medium"/>
      <bottom style="medium"/>
    </border>
    <border>
      <left style="thick"/>
      <right style="medium"/>
      <top style="medium"/>
      <bottom style="medium"/>
    </border>
    <border>
      <left style="thick"/>
      <right style="medium"/>
      <top style="medium"/>
      <bottom style="thick"/>
    </border>
    <border>
      <left style="thick"/>
      <right>
        <color indexed="63"/>
      </right>
      <top style="thick"/>
      <bottom style="thick"/>
    </border>
    <border>
      <left>
        <color indexed="63"/>
      </left>
      <right>
        <color indexed="63"/>
      </right>
      <top style="thick"/>
      <bottom style="thick"/>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ck"/>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thick"/>
      <bottom style="medium"/>
    </border>
    <border>
      <left>
        <color indexed="63"/>
      </left>
      <right>
        <color indexed="63"/>
      </right>
      <top>
        <color indexed="63"/>
      </top>
      <bottom style="double"/>
    </border>
    <border>
      <left style="thick"/>
      <right style="thick"/>
      <top style="thick"/>
      <bottom>
        <color indexed="63"/>
      </bottom>
    </border>
    <border>
      <left style="thick"/>
      <right style="thick"/>
      <top style="medium"/>
      <bottom style="thick"/>
    </border>
    <border>
      <left>
        <color indexed="63"/>
      </left>
      <right style="medium"/>
      <top style="medium"/>
      <bottom>
        <color indexed="63"/>
      </bottom>
    </border>
    <border>
      <left style="medium"/>
      <right style="medium"/>
      <top style="medium"/>
      <bottom>
        <color indexed="63"/>
      </bottom>
    </border>
    <border>
      <left style="thick"/>
      <right style="thick"/>
      <top>
        <color indexed="63"/>
      </top>
      <bottom>
        <color indexed="63"/>
      </bottom>
    </border>
    <border>
      <left>
        <color indexed="63"/>
      </left>
      <right style="thick"/>
      <top style="thick"/>
      <bottom>
        <color indexed="63"/>
      </bottom>
    </border>
    <border>
      <left style="thick"/>
      <right>
        <color indexed="63"/>
      </right>
      <top style="thick"/>
      <bottom>
        <color indexed="63"/>
      </bottom>
    </border>
    <border>
      <left style="thick"/>
      <right>
        <color indexed="63"/>
      </right>
      <top style="medium"/>
      <bottom style="thick"/>
    </border>
    <border>
      <left>
        <color indexed="63"/>
      </left>
      <right style="medium"/>
      <top style="thick"/>
      <bottom>
        <color indexed="63"/>
      </bottom>
    </border>
    <border>
      <left>
        <color indexed="63"/>
      </left>
      <right style="medium"/>
      <top>
        <color indexed="63"/>
      </top>
      <bottom style="thick"/>
    </border>
    <border>
      <left style="medium"/>
      <right style="medium"/>
      <top style="thick"/>
      <bottom>
        <color indexed="63"/>
      </bottom>
    </border>
    <border>
      <left style="medium"/>
      <right style="medium"/>
      <top>
        <color indexed="63"/>
      </top>
      <bottom style="thick"/>
    </border>
    <border>
      <left>
        <color indexed="63"/>
      </left>
      <right>
        <color indexed="63"/>
      </right>
      <top style="thick"/>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thick"/>
      <right>
        <color indexed="63"/>
      </right>
      <top>
        <color indexed="63"/>
      </top>
      <bottom style="thick"/>
    </border>
    <border>
      <left style="medium"/>
      <right style="thick"/>
      <top style="thick"/>
      <bottom>
        <color indexed="63"/>
      </bottom>
    </border>
    <border>
      <left style="medium"/>
      <right style="thick"/>
      <top>
        <color indexed="63"/>
      </top>
      <bottom style="thick"/>
    </border>
    <border>
      <left style="thick"/>
      <right style="thick"/>
      <top>
        <color indexed="63"/>
      </top>
      <bottom style="thick"/>
    </border>
    <border>
      <left>
        <color indexed="63"/>
      </left>
      <right style="thick"/>
      <top style="double">
        <color indexed="10"/>
      </top>
      <bottom style="double">
        <color indexed="10"/>
      </bottom>
    </border>
    <border>
      <left>
        <color indexed="63"/>
      </left>
      <right>
        <color indexed="63"/>
      </right>
      <top style="double">
        <color indexed="10"/>
      </top>
      <bottom style="double">
        <color indexed="10"/>
      </bottom>
    </border>
    <border>
      <left style="medium"/>
      <right style="medium"/>
      <top style="double">
        <color indexed="10"/>
      </top>
      <bottom style="double">
        <color indexed="10"/>
      </bottom>
    </border>
    <border>
      <left style="thick"/>
      <right style="thick"/>
      <top style="double">
        <color indexed="10"/>
      </top>
      <bottom style="double">
        <color indexed="10"/>
      </bottom>
    </border>
    <border>
      <left style="thick"/>
      <right>
        <color indexed="63"/>
      </right>
      <top style="double">
        <color indexed="10"/>
      </top>
      <bottom style="double">
        <color indexed="1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ck"/>
      <top style="thick"/>
      <bottom style="thick"/>
    </border>
    <border>
      <left style="thick"/>
      <right style="thick"/>
      <top style="thick"/>
      <bottom style="thick"/>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slantDashDot"/>
      <right style="double"/>
      <top>
        <color indexed="63"/>
      </top>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style="slantDashDot"/>
      <right>
        <color indexed="63"/>
      </right>
      <top style="slantDashDot"/>
      <bottom>
        <color indexed="63"/>
      </bottom>
    </border>
    <border>
      <left>
        <color indexed="63"/>
      </left>
      <right style="slantDashDot"/>
      <top style="slantDashDot"/>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Alignment="1">
      <alignment horizontal="center"/>
    </xf>
    <xf numFmtId="0" fontId="3" fillId="0" borderId="0" xfId="0" applyFont="1" applyAlignment="1">
      <alignment/>
    </xf>
    <xf numFmtId="0" fontId="0" fillId="2" borderId="0" xfId="0" applyFill="1" applyBorder="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3" fillId="2" borderId="1" xfId="0" applyFont="1" applyFill="1" applyBorder="1" applyAlignment="1">
      <alignment horizontal="center"/>
    </xf>
    <xf numFmtId="0" fontId="0" fillId="2" borderId="3" xfId="0" applyFill="1" applyBorder="1" applyAlignment="1">
      <alignment/>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3" borderId="13" xfId="0" applyFill="1" applyBorder="1" applyAlignment="1">
      <alignment/>
    </xf>
    <xf numFmtId="0" fontId="0" fillId="3" borderId="14" xfId="0" applyFill="1" applyBorder="1" applyAlignment="1">
      <alignment/>
    </xf>
    <xf numFmtId="0" fontId="3" fillId="3" borderId="14" xfId="0" applyFont="1" applyFill="1" applyBorder="1" applyAlignment="1">
      <alignment/>
    </xf>
    <xf numFmtId="0" fontId="0" fillId="4"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horizontal="center"/>
    </xf>
    <xf numFmtId="0" fontId="0" fillId="2" borderId="19" xfId="0" applyFill="1" applyBorder="1" applyAlignment="1">
      <alignment horizontal="center"/>
    </xf>
    <xf numFmtId="0" fontId="3" fillId="4" borderId="15" xfId="0" applyFont="1" applyFill="1" applyBorder="1" applyAlignment="1">
      <alignment/>
    </xf>
    <xf numFmtId="0" fontId="4" fillId="0" borderId="0" xfId="0" applyFont="1" applyFill="1" applyBorder="1" applyAlignment="1">
      <alignment horizontal="center"/>
    </xf>
    <xf numFmtId="0" fontId="0" fillId="4" borderId="0" xfId="0" applyFill="1" applyBorder="1" applyAlignment="1">
      <alignment/>
    </xf>
    <xf numFmtId="0" fontId="3" fillId="4" borderId="0" xfId="0" applyFont="1" applyFill="1" applyBorder="1" applyAlignment="1">
      <alignment/>
    </xf>
    <xf numFmtId="0" fontId="0" fillId="4" borderId="3" xfId="0" applyFill="1" applyBorder="1" applyAlignment="1">
      <alignment/>
    </xf>
    <xf numFmtId="0" fontId="0" fillId="4" borderId="20" xfId="0" applyFill="1" applyBorder="1" applyAlignment="1">
      <alignment/>
    </xf>
    <xf numFmtId="49" fontId="0" fillId="0" borderId="0" xfId="0" applyNumberFormat="1" applyAlignment="1">
      <alignment/>
    </xf>
    <xf numFmtId="0" fontId="3" fillId="2" borderId="7" xfId="0" applyFont="1" applyFill="1" applyBorder="1" applyAlignment="1">
      <alignment horizontal="center"/>
    </xf>
    <xf numFmtId="0" fontId="0" fillId="2" borderId="21" xfId="0" applyFill="1" applyBorder="1" applyAlignment="1">
      <alignment/>
    </xf>
    <xf numFmtId="0" fontId="0" fillId="4" borderId="22" xfId="0" applyFill="1" applyBorder="1" applyAlignment="1">
      <alignment/>
    </xf>
    <xf numFmtId="0" fontId="0" fillId="0" borderId="0" xfId="0" applyFill="1" applyBorder="1" applyAlignment="1">
      <alignment/>
    </xf>
    <xf numFmtId="0" fontId="0" fillId="4" borderId="23" xfId="0" applyFill="1" applyBorder="1" applyAlignment="1">
      <alignment/>
    </xf>
    <xf numFmtId="0" fontId="0" fillId="0" borderId="24" xfId="0" applyBorder="1" applyAlignment="1">
      <alignment/>
    </xf>
    <xf numFmtId="0" fontId="3" fillId="0" borderId="24" xfId="0" applyFont="1" applyBorder="1" applyAlignment="1">
      <alignment/>
    </xf>
    <xf numFmtId="0" fontId="7" fillId="0" borderId="0" xfId="0" applyFont="1" applyAlignment="1">
      <alignment/>
    </xf>
    <xf numFmtId="49" fontId="7" fillId="0" borderId="0" xfId="0" applyNumberFormat="1" applyFont="1" applyAlignment="1">
      <alignment/>
    </xf>
    <xf numFmtId="0" fontId="4" fillId="0" borderId="15" xfId="0" applyFont="1" applyFill="1" applyBorder="1" applyAlignment="1">
      <alignment horizontal="center"/>
    </xf>
    <xf numFmtId="0" fontId="0" fillId="0" borderId="15" xfId="0" applyFill="1" applyBorder="1" applyAlignment="1">
      <alignment horizontal="center"/>
    </xf>
    <xf numFmtId="0" fontId="0" fillId="0" borderId="0" xfId="0" applyNumberFormat="1" applyAlignment="1">
      <alignment/>
    </xf>
    <xf numFmtId="0" fontId="3" fillId="4" borderId="22" xfId="0" applyFont="1" applyFill="1" applyBorder="1" applyAlignment="1">
      <alignment/>
    </xf>
    <xf numFmtId="0" fontId="0" fillId="3" borderId="2" xfId="0" applyFill="1" applyBorder="1" applyAlignment="1">
      <alignment/>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5" borderId="25" xfId="0" applyFont="1" applyFill="1" applyBorder="1" applyAlignment="1">
      <alignment horizontal="center"/>
    </xf>
    <xf numFmtId="0" fontId="4" fillId="5" borderId="26" xfId="0" applyFont="1" applyFill="1" applyBorder="1" applyAlignment="1">
      <alignment horizontal="center"/>
    </xf>
    <xf numFmtId="0" fontId="4" fillId="5" borderId="27" xfId="0" applyFont="1" applyFill="1" applyBorder="1" applyAlignment="1">
      <alignment horizontal="center"/>
    </xf>
    <xf numFmtId="0" fontId="4" fillId="5" borderId="28" xfId="0" applyFont="1" applyFill="1" applyBorder="1" applyAlignment="1">
      <alignment horizontal="center"/>
    </xf>
    <xf numFmtId="0" fontId="3" fillId="3" borderId="2" xfId="0" applyFont="1" applyFill="1" applyBorder="1" applyAlignment="1">
      <alignment/>
    </xf>
    <xf numFmtId="0" fontId="0" fillId="3" borderId="29" xfId="0" applyFill="1" applyBorder="1" applyAlignment="1">
      <alignment/>
    </xf>
    <xf numFmtId="0" fontId="0" fillId="3" borderId="3" xfId="0" applyFill="1" applyBorder="1" applyAlignment="1">
      <alignment/>
    </xf>
    <xf numFmtId="0" fontId="0" fillId="3" borderId="30" xfId="0" applyFill="1" applyBorder="1" applyAlignment="1">
      <alignment/>
    </xf>
    <xf numFmtId="0" fontId="4" fillId="5" borderId="31" xfId="0" applyFont="1" applyFill="1" applyBorder="1" applyAlignment="1">
      <alignment horizontal="center"/>
    </xf>
    <xf numFmtId="0" fontId="4" fillId="5" borderId="32" xfId="0" applyFont="1" applyFill="1" applyBorder="1" applyAlignment="1">
      <alignment horizontal="center"/>
    </xf>
    <xf numFmtId="0" fontId="0" fillId="0" borderId="33"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5" xfId="0" applyBorder="1" applyAlignment="1" applyProtection="1">
      <alignment/>
      <protection locked="0"/>
    </xf>
    <xf numFmtId="0" fontId="0" fillId="0" borderId="18" xfId="0" applyBorder="1" applyAlignment="1" applyProtection="1">
      <alignment/>
      <protection locked="0"/>
    </xf>
    <xf numFmtId="0" fontId="0" fillId="0" borderId="36" xfId="0" applyBorder="1" applyAlignment="1" applyProtection="1">
      <alignment/>
      <protection locked="0"/>
    </xf>
    <xf numFmtId="0" fontId="0" fillId="0" borderId="20"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0" xfId="0" applyBorder="1" applyAlignment="1" applyProtection="1">
      <alignment/>
      <protection locked="0"/>
    </xf>
    <xf numFmtId="0" fontId="0" fillId="0" borderId="42" xfId="0" applyBorder="1" applyAlignment="1" applyProtection="1">
      <alignment horizontal="center"/>
      <protection locked="0"/>
    </xf>
    <xf numFmtId="0" fontId="0" fillId="0" borderId="2" xfId="0" applyBorder="1" applyAlignment="1" applyProtection="1">
      <alignment/>
      <protection locked="0"/>
    </xf>
    <xf numFmtId="0" fontId="0" fillId="0" borderId="43" xfId="0" applyBorder="1" applyAlignment="1" applyProtection="1">
      <alignment horizontal="center"/>
      <protection locked="0"/>
    </xf>
    <xf numFmtId="0" fontId="0" fillId="0" borderId="0" xfId="0" applyAlignment="1" applyProtection="1">
      <alignment horizontal="center"/>
      <protection locked="0"/>
    </xf>
    <xf numFmtId="49" fontId="0" fillId="0" borderId="19" xfId="0" applyNumberFormat="1" applyBorder="1" applyAlignment="1" applyProtection="1">
      <alignment horizontal="center"/>
      <protection locked="0"/>
    </xf>
    <xf numFmtId="0" fontId="0" fillId="5" borderId="25" xfId="0" applyFill="1" applyBorder="1" applyAlignment="1" applyProtection="1">
      <alignment horizontal="center"/>
      <protection hidden="1"/>
    </xf>
    <xf numFmtId="0" fontId="0" fillId="5" borderId="29" xfId="0" applyFill="1" applyBorder="1" applyAlignment="1" applyProtection="1">
      <alignment horizontal="center"/>
      <protection hidden="1"/>
    </xf>
    <xf numFmtId="0" fontId="0" fillId="5" borderId="44" xfId="0" applyFill="1" applyBorder="1" applyAlignment="1" applyProtection="1">
      <alignment horizontal="center"/>
      <protection hidden="1"/>
    </xf>
    <xf numFmtId="0" fontId="0" fillId="5" borderId="20" xfId="0" applyFill="1" applyBorder="1" applyAlignment="1" applyProtection="1">
      <alignment horizontal="center"/>
      <protection hidden="1"/>
    </xf>
    <xf numFmtId="0" fontId="0" fillId="5" borderId="41" xfId="0" applyFill="1" applyBorder="1" applyAlignment="1" applyProtection="1">
      <alignment horizontal="center"/>
      <protection hidden="1"/>
    </xf>
    <xf numFmtId="0" fontId="0" fillId="5" borderId="31"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0" xfId="0" applyFill="1" applyAlignment="1" applyProtection="1">
      <alignment horizontal="center"/>
      <protection hidden="1"/>
    </xf>
    <xf numFmtId="0" fontId="0" fillId="5" borderId="28" xfId="0" applyFill="1" applyBorder="1" applyAlignment="1" applyProtection="1">
      <alignment horizontal="center"/>
      <protection hidden="1"/>
    </xf>
    <xf numFmtId="0" fontId="0" fillId="0" borderId="37" xfId="0" applyFill="1" applyBorder="1" applyAlignment="1">
      <alignment/>
    </xf>
    <xf numFmtId="0" fontId="0" fillId="0" borderId="37" xfId="0" applyFill="1" applyBorder="1" applyAlignment="1">
      <alignment horizontal="center"/>
    </xf>
    <xf numFmtId="0" fontId="0" fillId="0" borderId="2" xfId="0" applyFill="1" applyBorder="1" applyAlignment="1">
      <alignment/>
    </xf>
    <xf numFmtId="0" fontId="0" fillId="0" borderId="2" xfId="0" applyFill="1" applyBorder="1" applyAlignment="1">
      <alignment horizontal="center"/>
    </xf>
    <xf numFmtId="0" fontId="0" fillId="2" borderId="45" xfId="0" applyFill="1" applyBorder="1" applyAlignment="1">
      <alignment/>
    </xf>
    <xf numFmtId="0" fontId="0" fillId="0" borderId="46" xfId="0" applyBorder="1" applyAlignment="1">
      <alignment horizontal="center"/>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5" borderId="48" xfId="0" applyFill="1" applyBorder="1" applyAlignment="1" applyProtection="1">
      <alignment horizontal="center"/>
      <protection hidden="1"/>
    </xf>
    <xf numFmtId="0" fontId="0" fillId="0" borderId="49" xfId="0" applyBorder="1" applyAlignment="1" applyProtection="1">
      <alignment horizontal="center"/>
      <protection locked="0"/>
    </xf>
    <xf numFmtId="0" fontId="0" fillId="0" borderId="47" xfId="0" applyBorder="1" applyAlignment="1" applyProtection="1">
      <alignment/>
      <protection locked="0"/>
    </xf>
    <xf numFmtId="0" fontId="10" fillId="0" borderId="50" xfId="0" applyFont="1" applyBorder="1" applyAlignment="1">
      <alignment/>
    </xf>
    <xf numFmtId="0" fontId="11" fillId="0" borderId="51" xfId="0" applyFont="1" applyBorder="1" applyAlignment="1">
      <alignment/>
    </xf>
    <xf numFmtId="0" fontId="0" fillId="0" borderId="52" xfId="0" applyBorder="1" applyAlignment="1">
      <alignment/>
    </xf>
    <xf numFmtId="0" fontId="10" fillId="0" borderId="53" xfId="0" applyFont="1" applyBorder="1" applyAlignment="1">
      <alignment/>
    </xf>
    <xf numFmtId="0" fontId="0" fillId="0" borderId="54" xfId="0" applyBorder="1" applyAlignment="1">
      <alignment/>
    </xf>
    <xf numFmtId="0" fontId="10" fillId="0" borderId="55" xfId="0" applyFont="1" applyBorder="1" applyAlignment="1">
      <alignment/>
    </xf>
    <xf numFmtId="0" fontId="11" fillId="0" borderId="0" xfId="0" applyFont="1" applyBorder="1" applyAlignment="1">
      <alignment/>
    </xf>
    <xf numFmtId="0" fontId="0" fillId="0" borderId="56" xfId="0" applyBorder="1" applyAlignment="1">
      <alignment/>
    </xf>
    <xf numFmtId="0" fontId="0" fillId="0" borderId="0" xfId="0" applyBorder="1" applyAlignment="1">
      <alignment/>
    </xf>
    <xf numFmtId="0" fontId="0" fillId="0" borderId="0" xfId="0" applyFill="1" applyBorder="1" applyAlignment="1" applyProtection="1">
      <alignment horizontal="center"/>
      <protection hidden="1"/>
    </xf>
    <xf numFmtId="0" fontId="0" fillId="0" borderId="0" xfId="0" applyAlignment="1" applyProtection="1">
      <alignment/>
      <protection hidden="1"/>
    </xf>
    <xf numFmtId="0" fontId="0" fillId="4" borderId="13" xfId="0" applyFill="1" applyBorder="1" applyAlignment="1">
      <alignment/>
    </xf>
    <xf numFmtId="0" fontId="3" fillId="4" borderId="14" xfId="0" applyFont="1" applyFill="1" applyBorder="1" applyAlignment="1">
      <alignment/>
    </xf>
    <xf numFmtId="0" fontId="0" fillId="4" borderId="14" xfId="0" applyFill="1" applyBorder="1" applyAlignment="1">
      <alignment/>
    </xf>
    <xf numFmtId="0" fontId="0" fillId="0" borderId="0" xfId="0" applyAlignment="1">
      <alignment horizontal="left"/>
    </xf>
    <xf numFmtId="0" fontId="3" fillId="3" borderId="13" xfId="0" applyFont="1" applyFill="1" applyBorder="1" applyAlignment="1">
      <alignment/>
    </xf>
    <xf numFmtId="0" fontId="0" fillId="0" borderId="24" xfId="0" applyBorder="1" applyAlignment="1">
      <alignment horizontal="center"/>
    </xf>
    <xf numFmtId="0" fontId="3" fillId="0" borderId="0" xfId="0" applyFont="1" applyBorder="1" applyAlignment="1">
      <alignment/>
    </xf>
    <xf numFmtId="0" fontId="0" fillId="0" borderId="0" xfId="0" applyBorder="1" applyAlignment="1">
      <alignment horizontal="center"/>
    </xf>
    <xf numFmtId="0" fontId="0" fillId="3" borderId="14" xfId="0" applyFill="1" applyBorder="1" applyAlignment="1">
      <alignment horizontal="center"/>
    </xf>
    <xf numFmtId="0" fontId="0" fillId="4" borderId="14" xfId="0" applyFill="1" applyBorder="1" applyAlignment="1">
      <alignment horizontal="center"/>
    </xf>
    <xf numFmtId="0" fontId="3" fillId="2" borderId="14" xfId="0" applyFont="1" applyFill="1" applyBorder="1" applyAlignment="1">
      <alignment horizontal="center"/>
    </xf>
    <xf numFmtId="0" fontId="0" fillId="2" borderId="57" xfId="0" applyFill="1" applyBorder="1" applyAlignment="1">
      <alignment/>
    </xf>
    <xf numFmtId="0" fontId="0" fillId="2" borderId="25" xfId="0" applyFill="1" applyBorder="1" applyAlignment="1">
      <alignment horizontal="center"/>
    </xf>
    <xf numFmtId="0" fontId="0" fillId="2" borderId="29" xfId="0" applyFill="1" applyBorder="1" applyAlignment="1">
      <alignment horizontal="center"/>
    </xf>
    <xf numFmtId="0" fontId="0" fillId="2" borderId="44" xfId="0" applyFill="1" applyBorder="1" applyAlignment="1">
      <alignment horizontal="center"/>
    </xf>
    <xf numFmtId="0" fontId="3" fillId="2" borderId="58" xfId="0" applyFont="1" applyFill="1" applyBorder="1" applyAlignment="1">
      <alignment horizontal="center"/>
    </xf>
    <xf numFmtId="0" fontId="0" fillId="5" borderId="30" xfId="0" applyFill="1" applyBorder="1" applyAlignment="1">
      <alignment/>
    </xf>
    <xf numFmtId="0" fontId="0" fillId="5" borderId="1" xfId="0" applyFill="1" applyBorder="1" applyAlignment="1">
      <alignment/>
    </xf>
    <xf numFmtId="0" fontId="0" fillId="5" borderId="3" xfId="0" applyFill="1" applyBorder="1" applyAlignment="1">
      <alignment/>
    </xf>
    <xf numFmtId="0" fontId="0" fillId="5" borderId="31" xfId="0" applyFill="1" applyBorder="1" applyAlignment="1">
      <alignment horizontal="center"/>
    </xf>
    <xf numFmtId="0" fontId="0" fillId="5" borderId="20" xfId="0" applyFill="1" applyBorder="1" applyAlignment="1">
      <alignment horizontal="center"/>
    </xf>
    <xf numFmtId="0" fontId="0" fillId="5" borderId="41" xfId="0" applyFill="1" applyBorder="1" applyAlignment="1">
      <alignment horizontal="center"/>
    </xf>
    <xf numFmtId="0" fontId="0" fillId="2" borderId="28" xfId="0" applyFill="1" applyBorder="1" applyAlignment="1">
      <alignment horizontal="center"/>
    </xf>
    <xf numFmtId="0" fontId="0" fillId="2" borderId="18" xfId="0" applyFill="1" applyBorder="1" applyAlignment="1" applyProtection="1">
      <alignment horizontal="left"/>
      <protection hidden="1"/>
    </xf>
    <xf numFmtId="49" fontId="0" fillId="0" borderId="59" xfId="0" applyNumberFormat="1" applyBorder="1" applyAlignment="1" applyProtection="1">
      <alignment horizontal="center"/>
      <protection locked="0"/>
    </xf>
    <xf numFmtId="0" fontId="0" fillId="0" borderId="0" xfId="0" applyFill="1" applyBorder="1" applyAlignment="1" applyProtection="1">
      <alignment horizontal="right"/>
      <protection hidden="1"/>
    </xf>
    <xf numFmtId="0" fontId="0" fillId="0" borderId="51" xfId="0" applyBorder="1" applyAlignment="1">
      <alignment horizontal="center"/>
    </xf>
    <xf numFmtId="49" fontId="0" fillId="0" borderId="60" xfId="0" applyNumberFormat="1" applyBorder="1" applyAlignment="1" applyProtection="1">
      <alignment horizontal="center"/>
      <protection locked="0"/>
    </xf>
    <xf numFmtId="0" fontId="0" fillId="2" borderId="19" xfId="0" applyFill="1" applyBorder="1" applyAlignment="1">
      <alignment horizontal="left"/>
    </xf>
    <xf numFmtId="0" fontId="4" fillId="0" borderId="61" xfId="0" applyFont="1" applyFill="1" applyBorder="1" applyAlignment="1">
      <alignment horizontal="center"/>
    </xf>
    <xf numFmtId="0" fontId="4" fillId="0" borderId="62" xfId="0" applyFont="1" applyFill="1" applyBorder="1" applyAlignment="1">
      <alignment horizontal="center"/>
    </xf>
    <xf numFmtId="0" fontId="0" fillId="0" borderId="62" xfId="0" applyFill="1" applyBorder="1" applyAlignment="1" applyProtection="1">
      <alignment horizontal="center"/>
      <protection/>
    </xf>
    <xf numFmtId="0" fontId="0" fillId="0" borderId="37" xfId="0"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lignment horizontal="center"/>
    </xf>
    <xf numFmtId="0" fontId="0" fillId="0" borderId="0" xfId="0" applyFill="1" applyBorder="1" applyAlignment="1" applyProtection="1">
      <alignment horizontal="center"/>
      <protection/>
    </xf>
    <xf numFmtId="0" fontId="3" fillId="0" borderId="63" xfId="0" applyFont="1" applyBorder="1" applyAlignment="1">
      <alignment horizontal="center"/>
    </xf>
    <xf numFmtId="0" fontId="0" fillId="0" borderId="64" xfId="0" applyBorder="1" applyAlignment="1">
      <alignment/>
    </xf>
    <xf numFmtId="0" fontId="0" fillId="0" borderId="65" xfId="0" applyBorder="1" applyAlignment="1">
      <alignment/>
    </xf>
    <xf numFmtId="49" fontId="0" fillId="0" borderId="64" xfId="0" applyNumberFormat="1" applyBorder="1" applyAlignment="1" applyProtection="1">
      <alignment horizontal="center"/>
      <protection locked="0"/>
    </xf>
    <xf numFmtId="0" fontId="0" fillId="0" borderId="65" xfId="0" applyBorder="1" applyAlignment="1" applyProtection="1">
      <alignment/>
      <protection locked="0"/>
    </xf>
    <xf numFmtId="49" fontId="0" fillId="0" borderId="66" xfId="0" applyNumberFormat="1" applyBorder="1" applyAlignment="1" applyProtection="1">
      <alignment horizontal="center"/>
      <protection locked="0"/>
    </xf>
    <xf numFmtId="0" fontId="0" fillId="0" borderId="67" xfId="0" applyBorder="1" applyAlignment="1" applyProtection="1">
      <alignment/>
      <protection locked="0"/>
    </xf>
    <xf numFmtId="0" fontId="0" fillId="0" borderId="63" xfId="0" applyBorder="1" applyAlignment="1">
      <alignment/>
    </xf>
    <xf numFmtId="0" fontId="0" fillId="0" borderId="50" xfId="0" applyBorder="1" applyAlignment="1" applyProtection="1">
      <alignment/>
      <protection hidden="1"/>
    </xf>
    <xf numFmtId="0" fontId="0" fillId="0" borderId="51" xfId="0" applyBorder="1" applyAlignment="1" applyProtection="1">
      <alignment/>
      <protection hidden="1"/>
    </xf>
    <xf numFmtId="0" fontId="0" fillId="0" borderId="51" xfId="0" applyBorder="1" applyAlignment="1" applyProtection="1">
      <alignment horizontal="center"/>
      <protection hidden="1"/>
    </xf>
    <xf numFmtId="0" fontId="0" fillId="0" borderId="52" xfId="0" applyBorder="1" applyAlignment="1" applyProtection="1">
      <alignment/>
      <protection hidden="1"/>
    </xf>
    <xf numFmtId="0" fontId="0" fillId="0" borderId="55" xfId="0" applyBorder="1" applyAlignment="1" applyProtection="1">
      <alignment/>
      <protection hidden="1"/>
    </xf>
    <xf numFmtId="0" fontId="0" fillId="0" borderId="0" xfId="0" applyBorder="1" applyAlignment="1" applyProtection="1">
      <alignment/>
      <protection hidden="1"/>
    </xf>
    <xf numFmtId="0" fontId="0" fillId="0" borderId="56" xfId="0" applyBorder="1" applyAlignment="1" applyProtection="1">
      <alignment/>
      <protection hidden="1"/>
    </xf>
    <xf numFmtId="0" fontId="0" fillId="0" borderId="0" xfId="0" applyBorder="1" applyAlignment="1" applyProtection="1">
      <alignment horizontal="right"/>
      <protection hidden="1"/>
    </xf>
    <xf numFmtId="0" fontId="5" fillId="0" borderId="55" xfId="0" applyFont="1" applyBorder="1" applyAlignment="1" applyProtection="1">
      <alignment/>
      <protection hidden="1"/>
    </xf>
    <xf numFmtId="49" fontId="0" fillId="0" borderId="0" xfId="0" applyNumberFormat="1" applyBorder="1" applyAlignment="1" applyProtection="1">
      <alignment/>
      <protection hidden="1"/>
    </xf>
    <xf numFmtId="0" fontId="0" fillId="0" borderId="53" xfId="0" applyBorder="1" applyAlignment="1" applyProtection="1">
      <alignment/>
      <protection hidden="1"/>
    </xf>
    <xf numFmtId="0" fontId="0" fillId="0" borderId="24" xfId="0" applyBorder="1" applyAlignment="1" applyProtection="1">
      <alignment/>
      <protection hidden="1"/>
    </xf>
    <xf numFmtId="0" fontId="0" fillId="0" borderId="54" xfId="0" applyBorder="1" applyAlignment="1" applyProtection="1">
      <alignment/>
      <protection hidden="1"/>
    </xf>
    <xf numFmtId="0" fontId="3" fillId="0" borderId="50" xfId="0" applyFont="1" applyBorder="1" applyAlignment="1">
      <alignment/>
    </xf>
    <xf numFmtId="0" fontId="0" fillId="0" borderId="51" xfId="0" applyBorder="1" applyAlignment="1">
      <alignment/>
    </xf>
    <xf numFmtId="0" fontId="0" fillId="0" borderId="51" xfId="0" applyBorder="1" applyAlignment="1" applyProtection="1">
      <alignment horizontal="center"/>
      <protection locked="0"/>
    </xf>
    <xf numFmtId="0" fontId="0" fillId="0" borderId="55" xfId="0" applyBorder="1" applyAlignment="1">
      <alignment/>
    </xf>
    <xf numFmtId="0" fontId="0" fillId="0" borderId="0" xfId="0" applyBorder="1" applyAlignment="1" applyProtection="1">
      <alignment horizontal="center"/>
      <protection hidden="1"/>
    </xf>
    <xf numFmtId="0" fontId="0" fillId="0" borderId="53" xfId="0" applyBorder="1" applyAlignment="1">
      <alignment/>
    </xf>
    <xf numFmtId="0" fontId="0" fillId="0" borderId="24" xfId="0" applyBorder="1" applyAlignment="1" applyProtection="1">
      <alignment horizontal="center"/>
      <protection hidden="1"/>
    </xf>
    <xf numFmtId="49" fontId="0" fillId="0" borderId="64" xfId="0" applyNumberFormat="1" applyBorder="1" applyAlignment="1">
      <alignment horizontal="center"/>
    </xf>
    <xf numFmtId="49" fontId="0" fillId="0" borderId="66" xfId="0" applyNumberFormat="1" applyBorder="1" applyAlignment="1">
      <alignment horizontal="center"/>
    </xf>
    <xf numFmtId="0" fontId="0" fillId="0" borderId="50" xfId="0" applyBorder="1" applyAlignment="1">
      <alignment/>
    </xf>
    <xf numFmtId="0" fontId="5" fillId="0" borderId="55" xfId="0" applyFont="1" applyBorder="1" applyAlignment="1">
      <alignment/>
    </xf>
    <xf numFmtId="49" fontId="0" fillId="0" borderId="24" xfId="0" applyNumberFormat="1" applyBorder="1" applyAlignment="1" applyProtection="1">
      <alignment/>
      <protection hidden="1"/>
    </xf>
    <xf numFmtId="2" fontId="0" fillId="0" borderId="0" xfId="0" applyNumberFormat="1" applyBorder="1" applyAlignment="1" applyProtection="1">
      <alignment horizontal="right"/>
      <protection hidden="1"/>
    </xf>
    <xf numFmtId="2" fontId="0" fillId="0" borderId="0" xfId="0" applyNumberFormat="1" applyBorder="1" applyAlignment="1" applyProtection="1">
      <alignment/>
      <protection hidden="1"/>
    </xf>
    <xf numFmtId="49" fontId="0" fillId="5" borderId="8" xfId="0" applyNumberFormat="1" applyFill="1" applyBorder="1" applyAlignment="1" applyProtection="1">
      <alignment horizontal="center"/>
      <protection hidden="1"/>
    </xf>
    <xf numFmtId="0" fontId="3" fillId="0" borderId="68" xfId="0" applyFont="1" applyBorder="1" applyAlignment="1">
      <alignment horizontal="center"/>
    </xf>
    <xf numFmtId="0" fontId="0" fillId="0" borderId="69" xfId="0" applyBorder="1" applyAlignment="1">
      <alignment horizontal="center"/>
    </xf>
    <xf numFmtId="0" fontId="3" fillId="0" borderId="69" xfId="0" applyFont="1"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5" borderId="20" xfId="0" applyFill="1" applyBorder="1" applyAlignment="1">
      <alignment horizontal="center"/>
    </xf>
    <xf numFmtId="0" fontId="0" fillId="5" borderId="1" xfId="0" applyFill="1" applyBorder="1" applyAlignment="1">
      <alignment/>
    </xf>
    <xf numFmtId="0" fontId="3" fillId="4" borderId="13" xfId="0" applyFont="1" applyFill="1" applyBorder="1" applyAlignment="1">
      <alignment horizontal="center"/>
    </xf>
    <xf numFmtId="0" fontId="0" fillId="0" borderId="14" xfId="0" applyBorder="1" applyAlignment="1">
      <alignment horizontal="center"/>
    </xf>
    <xf numFmtId="0" fontId="0" fillId="0" borderId="51" xfId="0" applyBorder="1" applyAlignment="1">
      <alignment horizontal="center"/>
    </xf>
    <xf numFmtId="0" fontId="0" fillId="0" borderId="51" xfId="0"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N49"/>
  <sheetViews>
    <sheetView tabSelected="1" workbookViewId="0" topLeftCell="A1">
      <selection activeCell="F46" sqref="F46"/>
    </sheetView>
  </sheetViews>
  <sheetFormatPr defaultColWidth="9.140625" defaultRowHeight="12.75"/>
  <cols>
    <col min="1" max="1" width="12.28125" style="0" customWidth="1"/>
    <col min="2" max="2" width="10.8515625" style="0" hidden="1" customWidth="1"/>
    <col min="3" max="3" width="8.140625" style="0" customWidth="1"/>
    <col min="5" max="5" width="6.7109375" style="0" customWidth="1"/>
    <col min="6" max="6" width="10.7109375" style="0" customWidth="1"/>
    <col min="7" max="7" width="12.28125" style="0" customWidth="1"/>
    <col min="8" max="8" width="6.140625" style="0" customWidth="1"/>
    <col min="9" max="9" width="10.7109375" style="0" customWidth="1"/>
    <col min="10" max="10" width="6.140625" style="0" customWidth="1"/>
    <col min="11" max="11" width="9.7109375" style="0" customWidth="1"/>
    <col min="12" max="12" width="11.140625" style="0" customWidth="1"/>
    <col min="13" max="13" width="2.7109375" style="0" customWidth="1"/>
  </cols>
  <sheetData>
    <row r="1" spans="1:13" ht="14.25" thickBot="1" thickTop="1">
      <c r="A1" s="17"/>
      <c r="B1" s="18"/>
      <c r="C1" s="18"/>
      <c r="D1" s="18"/>
      <c r="E1" s="19" t="s">
        <v>25</v>
      </c>
      <c r="F1" s="18"/>
      <c r="G1" s="18"/>
      <c r="H1" s="18"/>
      <c r="I1" s="18"/>
      <c r="J1" s="18"/>
      <c r="K1" s="18"/>
      <c r="L1" s="18"/>
      <c r="M1" s="55"/>
    </row>
    <row r="2" spans="1:13" ht="14.25" thickBot="1" thickTop="1">
      <c r="A2" s="4"/>
      <c r="B2" s="3" t="s">
        <v>1</v>
      </c>
      <c r="C2" s="27"/>
      <c r="D2" s="28" t="s">
        <v>16</v>
      </c>
      <c r="E2" s="27"/>
      <c r="F2" s="29"/>
      <c r="G2" s="4"/>
      <c r="H2" s="30"/>
      <c r="I2" s="27"/>
      <c r="J2" s="28" t="s">
        <v>17</v>
      </c>
      <c r="K2" s="27"/>
      <c r="L2" s="27"/>
      <c r="M2" s="53"/>
    </row>
    <row r="3" spans="1:13" ht="15.75" thickBot="1" thickTop="1">
      <c r="A3" s="6" t="s">
        <v>0</v>
      </c>
      <c r="B3" s="3" t="s">
        <v>13</v>
      </c>
      <c r="C3" s="11" t="s">
        <v>14</v>
      </c>
      <c r="D3" s="12" t="s">
        <v>15</v>
      </c>
      <c r="E3" s="13" t="s">
        <v>23</v>
      </c>
      <c r="F3" s="48" t="s">
        <v>125</v>
      </c>
      <c r="G3" s="6" t="s">
        <v>0</v>
      </c>
      <c r="H3" s="15" t="s">
        <v>18</v>
      </c>
      <c r="I3" s="12" t="s">
        <v>19</v>
      </c>
      <c r="J3" s="12" t="s">
        <v>20</v>
      </c>
      <c r="K3" s="14" t="s">
        <v>24</v>
      </c>
      <c r="L3" s="56" t="s">
        <v>127</v>
      </c>
      <c r="M3" s="53"/>
    </row>
    <row r="4" spans="1:13" ht="13.5" thickBot="1">
      <c r="A4" s="7"/>
      <c r="B4" s="5"/>
      <c r="C4" s="9" t="s">
        <v>21</v>
      </c>
      <c r="D4" s="10" t="s">
        <v>22</v>
      </c>
      <c r="E4" s="8"/>
      <c r="F4" s="49" t="s">
        <v>126</v>
      </c>
      <c r="G4" s="7"/>
      <c r="H4" s="16" t="s">
        <v>21</v>
      </c>
      <c r="I4" s="10" t="s">
        <v>21</v>
      </c>
      <c r="J4" s="10" t="s">
        <v>22</v>
      </c>
      <c r="K4" s="8"/>
      <c r="L4" s="57" t="s">
        <v>128</v>
      </c>
      <c r="M4" s="53"/>
    </row>
    <row r="5" spans="1:13" ht="13.5" thickTop="1">
      <c r="A5" s="4" t="s">
        <v>2</v>
      </c>
      <c r="B5" s="1">
        <v>54</v>
      </c>
      <c r="C5" s="58"/>
      <c r="D5" s="61"/>
      <c r="E5" s="64">
        <v>1</v>
      </c>
      <c r="F5" s="81" t="str">
        <f>FIXED(E5*POWER(C5/24,2)*PI()*D5*B5,0)</f>
        <v>0</v>
      </c>
      <c r="G5" s="4" t="s">
        <v>2</v>
      </c>
      <c r="H5" s="66"/>
      <c r="I5" s="61"/>
      <c r="J5" s="69"/>
      <c r="K5" s="64">
        <v>1</v>
      </c>
      <c r="L5" s="86" t="str">
        <f>FIXED(K5*H5/12*I5/12*J5*B5,0)</f>
        <v>0</v>
      </c>
      <c r="M5" s="53"/>
    </row>
    <row r="6" spans="1:13" ht="12.75">
      <c r="A6" s="4" t="s">
        <v>3</v>
      </c>
      <c r="B6" s="1">
        <v>70</v>
      </c>
      <c r="C6" s="59"/>
      <c r="D6" s="62"/>
      <c r="E6" s="65">
        <v>1</v>
      </c>
      <c r="F6" s="82" t="str">
        <f aca="true" t="shared" si="0" ref="F6:F18">FIXED(E6*POWER(C6/24,2)*PI()*D6*B6,0)</f>
        <v>0</v>
      </c>
      <c r="G6" s="4" t="s">
        <v>3</v>
      </c>
      <c r="H6" s="67"/>
      <c r="I6" s="62"/>
      <c r="J6" s="70"/>
      <c r="K6" s="65">
        <v>1</v>
      </c>
      <c r="L6" s="84" t="str">
        <f aca="true" t="shared" si="1" ref="L6:L18">FIXED(K6*H6/12*I6/12*J6*B6,0)</f>
        <v>0</v>
      </c>
      <c r="M6" s="53"/>
    </row>
    <row r="7" spans="1:13" ht="12.75">
      <c r="A7" s="4" t="s">
        <v>4</v>
      </c>
      <c r="B7" s="1">
        <v>68</v>
      </c>
      <c r="C7" s="59"/>
      <c r="D7" s="62"/>
      <c r="E7" s="65">
        <v>1</v>
      </c>
      <c r="F7" s="82" t="str">
        <f t="shared" si="0"/>
        <v>0</v>
      </c>
      <c r="G7" s="4" t="s">
        <v>4</v>
      </c>
      <c r="H7" s="67"/>
      <c r="I7" s="62"/>
      <c r="J7" s="70"/>
      <c r="K7" s="65">
        <v>1</v>
      </c>
      <c r="L7" s="84" t="str">
        <f t="shared" si="1"/>
        <v>0</v>
      </c>
      <c r="M7" s="53"/>
    </row>
    <row r="8" spans="1:13" ht="12.75">
      <c r="A8" s="4" t="s">
        <v>5</v>
      </c>
      <c r="B8" s="1">
        <v>74</v>
      </c>
      <c r="C8" s="59"/>
      <c r="D8" s="62"/>
      <c r="E8" s="65">
        <v>1</v>
      </c>
      <c r="F8" s="82" t="str">
        <f t="shared" si="0"/>
        <v>0</v>
      </c>
      <c r="G8" s="4" t="s">
        <v>5</v>
      </c>
      <c r="H8" s="67"/>
      <c r="I8" s="62"/>
      <c r="J8" s="70"/>
      <c r="K8" s="65">
        <v>1</v>
      </c>
      <c r="L8" s="84" t="str">
        <f t="shared" si="1"/>
        <v>0</v>
      </c>
      <c r="M8" s="53"/>
    </row>
    <row r="9" spans="1:13" ht="12.75">
      <c r="A9" s="4" t="s">
        <v>6</v>
      </c>
      <c r="B9" s="1">
        <v>74</v>
      </c>
      <c r="C9" s="59"/>
      <c r="D9" s="62"/>
      <c r="E9" s="65">
        <v>1</v>
      </c>
      <c r="F9" s="82" t="str">
        <f t="shared" si="0"/>
        <v>0</v>
      </c>
      <c r="G9" s="4" t="s">
        <v>6</v>
      </c>
      <c r="H9" s="67"/>
      <c r="I9" s="62"/>
      <c r="J9" s="70"/>
      <c r="K9" s="65">
        <v>1</v>
      </c>
      <c r="L9" s="84" t="str">
        <f t="shared" si="1"/>
        <v>0</v>
      </c>
      <c r="M9" s="53"/>
    </row>
    <row r="10" spans="1:13" ht="12.75">
      <c r="A10" s="4" t="s">
        <v>7</v>
      </c>
      <c r="B10" s="1">
        <v>74</v>
      </c>
      <c r="C10" s="59"/>
      <c r="D10" s="62"/>
      <c r="E10" s="65">
        <v>1</v>
      </c>
      <c r="F10" s="82" t="str">
        <f t="shared" si="0"/>
        <v>0</v>
      </c>
      <c r="G10" s="4" t="s">
        <v>7</v>
      </c>
      <c r="H10" s="67"/>
      <c r="I10" s="62"/>
      <c r="J10" s="70"/>
      <c r="K10" s="65">
        <v>1</v>
      </c>
      <c r="L10" s="84" t="str">
        <f t="shared" si="1"/>
        <v>0</v>
      </c>
      <c r="M10" s="53"/>
    </row>
    <row r="11" spans="1:13" ht="12.75">
      <c r="A11" s="4" t="s">
        <v>212</v>
      </c>
      <c r="B11" s="1">
        <v>68</v>
      </c>
      <c r="C11" s="59"/>
      <c r="D11" s="62"/>
      <c r="E11" s="65">
        <v>1</v>
      </c>
      <c r="F11" s="82" t="str">
        <f t="shared" si="0"/>
        <v>0</v>
      </c>
      <c r="G11" s="4" t="s">
        <v>212</v>
      </c>
      <c r="H11" s="67"/>
      <c r="I11" s="62"/>
      <c r="J11" s="70"/>
      <c r="K11" s="65">
        <v>1</v>
      </c>
      <c r="L11" s="84" t="str">
        <f t="shared" si="1"/>
        <v>0</v>
      </c>
      <c r="M11" s="53"/>
    </row>
    <row r="12" spans="1:13" ht="12.75">
      <c r="A12" s="4" t="s">
        <v>8</v>
      </c>
      <c r="B12" s="1">
        <v>65</v>
      </c>
      <c r="C12" s="59"/>
      <c r="D12" s="62"/>
      <c r="E12" s="65">
        <v>1</v>
      </c>
      <c r="F12" s="82" t="str">
        <f t="shared" si="0"/>
        <v>0</v>
      </c>
      <c r="G12" s="4" t="s">
        <v>8</v>
      </c>
      <c r="H12" s="67"/>
      <c r="I12" s="62"/>
      <c r="J12" s="70"/>
      <c r="K12" s="65">
        <v>1</v>
      </c>
      <c r="L12" s="84" t="str">
        <f t="shared" si="1"/>
        <v>0</v>
      </c>
      <c r="M12" s="53"/>
    </row>
    <row r="13" spans="1:13" ht="13.5" thickBot="1">
      <c r="A13" s="4" t="s">
        <v>9</v>
      </c>
      <c r="B13" s="1">
        <v>68</v>
      </c>
      <c r="C13" s="60"/>
      <c r="D13" s="63"/>
      <c r="E13" s="65">
        <v>1</v>
      </c>
      <c r="F13" s="82" t="str">
        <f t="shared" si="0"/>
        <v>0</v>
      </c>
      <c r="G13" s="4" t="s">
        <v>9</v>
      </c>
      <c r="H13" s="68"/>
      <c r="I13" s="63"/>
      <c r="J13" s="71"/>
      <c r="K13" s="65">
        <v>1</v>
      </c>
      <c r="L13" s="84" t="str">
        <f t="shared" si="1"/>
        <v>0</v>
      </c>
      <c r="M13" s="53"/>
    </row>
    <row r="14" spans="1:13" ht="14.25" hidden="1" thickBot="1" thickTop="1">
      <c r="A14" s="90"/>
      <c r="B14" s="91"/>
      <c r="C14" s="91"/>
      <c r="D14" s="91"/>
      <c r="E14" s="91"/>
      <c r="F14" s="91"/>
      <c r="G14" s="90"/>
      <c r="H14" s="91"/>
      <c r="I14" s="91"/>
      <c r="J14" s="90"/>
      <c r="K14" s="91"/>
      <c r="L14" s="91"/>
      <c r="M14" s="53"/>
    </row>
    <row r="15" spans="1:13" ht="14.25" thickBot="1" thickTop="1">
      <c r="A15" s="94" t="s">
        <v>10</v>
      </c>
      <c r="B15" s="95">
        <v>70</v>
      </c>
      <c r="C15" s="96"/>
      <c r="D15" s="97"/>
      <c r="E15" s="96">
        <v>1</v>
      </c>
      <c r="F15" s="98" t="str">
        <f t="shared" si="0"/>
        <v>0</v>
      </c>
      <c r="G15" s="94" t="s">
        <v>10</v>
      </c>
      <c r="H15" s="99"/>
      <c r="I15" s="97"/>
      <c r="J15" s="100"/>
      <c r="K15" s="96">
        <v>1</v>
      </c>
      <c r="L15" s="98" t="str">
        <f t="shared" si="1"/>
        <v>0</v>
      </c>
      <c r="M15" s="53"/>
    </row>
    <row r="16" spans="1:13" ht="14.25" hidden="1" thickBot="1" thickTop="1">
      <c r="A16" s="92"/>
      <c r="B16" s="93"/>
      <c r="C16" s="93"/>
      <c r="D16" s="93"/>
      <c r="E16" s="93"/>
      <c r="F16" s="93"/>
      <c r="G16" s="92"/>
      <c r="H16" s="93"/>
      <c r="I16" s="93"/>
      <c r="J16" s="92"/>
      <c r="K16" s="93"/>
      <c r="L16" s="93"/>
      <c r="M16" s="53"/>
    </row>
    <row r="17" spans="1:13" ht="13.5" thickTop="1">
      <c r="A17" s="4" t="s">
        <v>11</v>
      </c>
      <c r="B17" s="1">
        <v>74</v>
      </c>
      <c r="C17" s="65"/>
      <c r="D17" s="61"/>
      <c r="E17" s="65">
        <v>1</v>
      </c>
      <c r="F17" s="82" t="str">
        <f t="shared" si="0"/>
        <v>0</v>
      </c>
      <c r="G17" s="4" t="s">
        <v>11</v>
      </c>
      <c r="H17" s="72"/>
      <c r="I17" s="61"/>
      <c r="J17" s="75"/>
      <c r="K17" s="76">
        <v>1</v>
      </c>
      <c r="L17" s="84" t="str">
        <f t="shared" si="1"/>
        <v>0</v>
      </c>
      <c r="M17" s="53"/>
    </row>
    <row r="18" spans="1:13" ht="13.5" thickBot="1">
      <c r="A18" s="7" t="s">
        <v>12</v>
      </c>
      <c r="B18" s="1">
        <v>65</v>
      </c>
      <c r="C18" s="73"/>
      <c r="D18" s="63"/>
      <c r="E18" s="73">
        <v>1</v>
      </c>
      <c r="F18" s="83" t="str">
        <f t="shared" si="0"/>
        <v>0</v>
      </c>
      <c r="G18" s="7" t="s">
        <v>12</v>
      </c>
      <c r="H18" s="74"/>
      <c r="I18" s="63"/>
      <c r="J18" s="77"/>
      <c r="K18" s="78">
        <v>1</v>
      </c>
      <c r="L18" s="85" t="str">
        <f t="shared" si="1"/>
        <v>0</v>
      </c>
      <c r="M18" s="53"/>
    </row>
    <row r="19" spans="1:13" ht="14.25" thickBot="1" thickTop="1">
      <c r="A19" s="52"/>
      <c r="B19" s="45"/>
      <c r="C19" s="52" t="s">
        <v>139</v>
      </c>
      <c r="D19" s="45"/>
      <c r="E19" s="45"/>
      <c r="F19" s="45"/>
      <c r="G19" s="45"/>
      <c r="H19" s="45"/>
      <c r="I19" s="45"/>
      <c r="J19" s="45"/>
      <c r="K19" s="45"/>
      <c r="L19" s="18"/>
      <c r="M19" s="54"/>
    </row>
    <row r="20" ht="13.5" thickTop="1">
      <c r="C20" s="2" t="s">
        <v>26</v>
      </c>
    </row>
    <row r="21" ht="12.75">
      <c r="C21" s="39" t="s">
        <v>27</v>
      </c>
    </row>
    <row r="22" ht="12.75">
      <c r="C22" s="39" t="s">
        <v>206</v>
      </c>
    </row>
    <row r="23" ht="12.75">
      <c r="C23" s="39" t="s">
        <v>28</v>
      </c>
    </row>
    <row r="24" ht="12.75">
      <c r="C24" s="39" t="s">
        <v>29</v>
      </c>
    </row>
    <row r="25" ht="12.75">
      <c r="C25" s="39" t="s">
        <v>30</v>
      </c>
    </row>
    <row r="26" ht="13.5" thickBot="1">
      <c r="C26" s="39" t="s">
        <v>124</v>
      </c>
    </row>
    <row r="27" spans="1:14" ht="13.5" thickTop="1">
      <c r="A27" s="101" t="s">
        <v>135</v>
      </c>
      <c r="B27" s="102"/>
      <c r="C27" s="102"/>
      <c r="D27" s="102"/>
      <c r="E27" s="102"/>
      <c r="F27" s="102"/>
      <c r="G27" s="102"/>
      <c r="H27" s="102"/>
      <c r="I27" s="102"/>
      <c r="J27" s="102"/>
      <c r="K27" s="102"/>
      <c r="L27" s="102"/>
      <c r="M27" s="170"/>
      <c r="N27" s="103"/>
    </row>
    <row r="28" spans="1:14" ht="12.75">
      <c r="A28" s="106" t="s">
        <v>207</v>
      </c>
      <c r="B28" s="107"/>
      <c r="C28" s="107"/>
      <c r="D28" s="107"/>
      <c r="E28" s="107"/>
      <c r="F28" s="107"/>
      <c r="G28" s="107"/>
      <c r="H28" s="107"/>
      <c r="I28" s="107"/>
      <c r="J28" s="107"/>
      <c r="K28" s="107"/>
      <c r="L28" s="107"/>
      <c r="M28" s="109"/>
      <c r="N28" s="108"/>
    </row>
    <row r="29" spans="1:14" ht="12.75">
      <c r="A29" s="106" t="s">
        <v>133</v>
      </c>
      <c r="B29" s="109"/>
      <c r="C29" s="109"/>
      <c r="D29" s="109"/>
      <c r="E29" s="109"/>
      <c r="F29" s="109"/>
      <c r="G29" s="109"/>
      <c r="H29" s="109"/>
      <c r="I29" s="109"/>
      <c r="J29" s="109"/>
      <c r="K29" s="109"/>
      <c r="L29" s="109"/>
      <c r="M29" s="109"/>
      <c r="N29" s="108"/>
    </row>
    <row r="30" spans="1:14" ht="13.5" thickBot="1">
      <c r="A30" s="104" t="s">
        <v>134</v>
      </c>
      <c r="B30" s="37"/>
      <c r="C30" s="37"/>
      <c r="D30" s="37"/>
      <c r="E30" s="37"/>
      <c r="F30" s="37"/>
      <c r="G30" s="37"/>
      <c r="H30" s="37"/>
      <c r="I30" s="37"/>
      <c r="J30" s="37"/>
      <c r="K30" s="37"/>
      <c r="L30" s="37"/>
      <c r="M30" s="37"/>
      <c r="N30" s="105"/>
    </row>
    <row r="31" ht="13.5" thickTop="1"/>
    <row r="47" ht="12.75">
      <c r="A47" t="s">
        <v>213</v>
      </c>
    </row>
    <row r="48" ht="12.75">
      <c r="A48" t="s">
        <v>214</v>
      </c>
    </row>
    <row r="49" ht="12.75">
      <c r="A49" t="s">
        <v>204</v>
      </c>
    </row>
  </sheetData>
  <sheetProtection password="C497" sheet="1" objects="1" scenarios="1"/>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O91"/>
  <sheetViews>
    <sheetView workbookViewId="0" topLeftCell="A1">
      <selection activeCell="A52" sqref="A52"/>
    </sheetView>
  </sheetViews>
  <sheetFormatPr defaultColWidth="9.140625" defaultRowHeight="12.75"/>
  <cols>
    <col min="1" max="1" width="39.28125" style="0" customWidth="1"/>
    <col min="3" max="3" width="10.00390625" style="0" bestFit="1" customWidth="1"/>
    <col min="6" max="6" width="10.00390625" style="0" bestFit="1" customWidth="1"/>
    <col min="7" max="7" width="12.140625" style="0" customWidth="1"/>
    <col min="8" max="8" width="14.28125" style="0" customWidth="1"/>
    <col min="9" max="9" width="3.28125" style="0" customWidth="1"/>
    <col min="10" max="10" width="10.00390625" style="0" customWidth="1"/>
    <col min="11" max="11" width="5.7109375" style="0" customWidth="1"/>
    <col min="12" max="12" width="11.7109375" style="0" customWidth="1"/>
    <col min="13" max="13" width="3.57421875" style="0" customWidth="1"/>
    <col min="14" max="14" width="9.7109375" style="0" customWidth="1"/>
    <col min="15" max="15" width="11.7109375" style="0" customWidth="1"/>
  </cols>
  <sheetData>
    <row r="1" spans="1:12" ht="14.25" thickBot="1" thickTop="1">
      <c r="A1" s="18"/>
      <c r="B1" s="19" t="s">
        <v>31</v>
      </c>
      <c r="C1" s="18"/>
      <c r="D1" s="18"/>
      <c r="E1" s="18"/>
      <c r="F1" s="18"/>
      <c r="G1" s="18"/>
      <c r="H1" s="18"/>
      <c r="I1" s="55"/>
      <c r="J1" s="35"/>
      <c r="K1" s="35"/>
      <c r="L1" s="35"/>
    </row>
    <row r="2" spans="1:9" s="35" customFormat="1" ht="14.25" thickBot="1" thickTop="1">
      <c r="A2" s="44" t="s">
        <v>177</v>
      </c>
      <c r="B2" s="20"/>
      <c r="C2" s="34"/>
      <c r="D2" s="20"/>
      <c r="E2" s="20"/>
      <c r="F2" s="36"/>
      <c r="G2" s="36"/>
      <c r="H2" s="36"/>
      <c r="I2" s="53"/>
    </row>
    <row r="3" spans="1:9" ht="13.5" thickBot="1">
      <c r="A3" s="32" t="s">
        <v>32</v>
      </c>
      <c r="B3" s="33"/>
      <c r="C3" s="11"/>
      <c r="E3" s="2" t="s">
        <v>70</v>
      </c>
      <c r="I3" s="53"/>
    </row>
    <row r="4" spans="1:9" ht="12.75">
      <c r="A4" s="21" t="s">
        <v>33</v>
      </c>
      <c r="B4" s="79">
        <v>12</v>
      </c>
      <c r="C4" s="134" t="s">
        <v>21</v>
      </c>
      <c r="E4" s="39" t="s">
        <v>113</v>
      </c>
      <c r="I4" s="53"/>
    </row>
    <row r="5" spans="1:9" ht="12.75">
      <c r="A5" s="21" t="s">
        <v>107</v>
      </c>
      <c r="B5" s="79">
        <v>7</v>
      </c>
      <c r="C5" s="23" t="s">
        <v>22</v>
      </c>
      <c r="E5" s="39" t="s">
        <v>116</v>
      </c>
      <c r="I5" s="53"/>
    </row>
    <row r="6" spans="1:9" ht="12.75">
      <c r="A6" s="21" t="s">
        <v>35</v>
      </c>
      <c r="B6" s="79">
        <v>20</v>
      </c>
      <c r="C6" s="135">
        <f>IF(B6&gt;0,"","Error: Enter Interger")</f>
      </c>
      <c r="E6" s="39" t="s">
        <v>115</v>
      </c>
      <c r="I6" s="53"/>
    </row>
    <row r="7" spans="1:9" ht="12.75">
      <c r="A7" s="21" t="s">
        <v>43</v>
      </c>
      <c r="B7" s="79">
        <v>8000</v>
      </c>
      <c r="C7" s="23" t="s">
        <v>44</v>
      </c>
      <c r="E7" s="39" t="s">
        <v>117</v>
      </c>
      <c r="I7" s="53"/>
    </row>
    <row r="8" spans="1:9" ht="12.75">
      <c r="A8" s="21" t="s">
        <v>36</v>
      </c>
      <c r="B8" s="79">
        <v>10</v>
      </c>
      <c r="C8" s="23" t="s">
        <v>22</v>
      </c>
      <c r="E8" s="39" t="s">
        <v>118</v>
      </c>
      <c r="I8" s="53"/>
    </row>
    <row r="9" spans="1:9" ht="12.75">
      <c r="A9" s="21" t="s">
        <v>37</v>
      </c>
      <c r="B9" s="79">
        <v>200</v>
      </c>
      <c r="C9" s="23" t="s">
        <v>22</v>
      </c>
      <c r="E9" s="39" t="s">
        <v>119</v>
      </c>
      <c r="I9" s="53"/>
    </row>
    <row r="10" spans="1:9" ht="12.75">
      <c r="A10" s="21" t="s">
        <v>38</v>
      </c>
      <c r="B10" s="139" t="s">
        <v>47</v>
      </c>
      <c r="C10" s="23" t="s">
        <v>40</v>
      </c>
      <c r="E10" s="39" t="s">
        <v>120</v>
      </c>
      <c r="I10" s="53"/>
    </row>
    <row r="11" spans="1:9" ht="13.5" thickBot="1">
      <c r="A11" s="22" t="s">
        <v>186</v>
      </c>
      <c r="B11" s="136" t="s">
        <v>205</v>
      </c>
      <c r="C11" s="140">
        <f>IF(OR($B$11="D",$B$11="S"),"","Error: Enter D or S")</f>
      </c>
      <c r="E11" s="40" t="s">
        <v>121</v>
      </c>
      <c r="I11" s="53"/>
    </row>
    <row r="12" spans="1:9" ht="13.5" thickBot="1">
      <c r="A12" s="46" t="s">
        <v>187</v>
      </c>
      <c r="B12" s="183">
        <f>ROUND(F54,2)</f>
        <v>1.97</v>
      </c>
      <c r="C12" s="47" t="s">
        <v>39</v>
      </c>
      <c r="E12" s="39" t="s">
        <v>123</v>
      </c>
      <c r="F12" s="31"/>
      <c r="I12" s="53"/>
    </row>
    <row r="13" spans="1:9" ht="13.5" thickBot="1">
      <c r="A13" s="46" t="s">
        <v>45</v>
      </c>
      <c r="B13" s="87">
        <f>ROUND(F52,2)</f>
        <v>1.01</v>
      </c>
      <c r="C13" s="141"/>
      <c r="E13" s="39" t="s">
        <v>122</v>
      </c>
      <c r="I13" s="53"/>
    </row>
    <row r="14" spans="1:9" ht="13.5" thickBot="1">
      <c r="A14" s="142"/>
      <c r="B14" s="143"/>
      <c r="C14" s="26"/>
      <c r="I14" s="53"/>
    </row>
    <row r="15" spans="1:9" s="35" customFormat="1" ht="14.25" thickBot="1" thickTop="1">
      <c r="A15" s="17"/>
      <c r="B15" s="18"/>
      <c r="C15" s="18"/>
      <c r="D15" s="18"/>
      <c r="E15" s="18"/>
      <c r="F15" s="18"/>
      <c r="G15" s="18"/>
      <c r="H15" s="18"/>
      <c r="I15" s="54"/>
    </row>
    <row r="16" spans="1:9" ht="13.5" thickTop="1">
      <c r="A16" s="144"/>
      <c r="B16" s="144"/>
      <c r="C16" s="144"/>
      <c r="I16" s="144"/>
    </row>
    <row r="17" spans="1:9" ht="12.75">
      <c r="A17" s="35"/>
      <c r="B17" s="145"/>
      <c r="C17" s="146"/>
      <c r="I17" s="35"/>
    </row>
    <row r="18" spans="1:9" ht="12.75">
      <c r="A18" s="35"/>
      <c r="B18" s="145"/>
      <c r="C18" s="146"/>
      <c r="I18" s="35"/>
    </row>
    <row r="19" spans="1:9" ht="12.75">
      <c r="A19" s="35"/>
      <c r="B19" s="145"/>
      <c r="C19" s="146"/>
      <c r="I19" s="35"/>
    </row>
    <row r="20" spans="1:9" ht="12.75">
      <c r="A20" s="2" t="s">
        <v>131</v>
      </c>
      <c r="B20" s="147"/>
      <c r="C20" s="26"/>
      <c r="I20" s="35"/>
    </row>
    <row r="21" spans="1:9" ht="12.75">
      <c r="A21" t="s">
        <v>129</v>
      </c>
      <c r="B21" s="147"/>
      <c r="C21" s="26"/>
      <c r="I21" s="35"/>
    </row>
    <row r="22" ht="12.75">
      <c r="A22" t="s">
        <v>178</v>
      </c>
    </row>
    <row r="23" ht="12.75">
      <c r="A23" t="s">
        <v>188</v>
      </c>
    </row>
    <row r="24" ht="12.75">
      <c r="A24" t="s">
        <v>189</v>
      </c>
    </row>
    <row r="25" ht="12.75">
      <c r="A25" t="s">
        <v>190</v>
      </c>
    </row>
    <row r="26" ht="12.75">
      <c r="A26" t="s">
        <v>191</v>
      </c>
    </row>
    <row r="27" ht="12.75">
      <c r="A27" t="s">
        <v>192</v>
      </c>
    </row>
    <row r="28" ht="12.75">
      <c r="A28" t="s">
        <v>200</v>
      </c>
    </row>
    <row r="29" ht="12.75">
      <c r="A29" t="s">
        <v>201</v>
      </c>
    </row>
    <row r="30" ht="12.75">
      <c r="A30" t="s">
        <v>202</v>
      </c>
    </row>
    <row r="34" ht="12.75">
      <c r="L34" s="111"/>
    </row>
    <row r="35" ht="12.75">
      <c r="L35" s="111"/>
    </row>
    <row r="40" spans="3:15" ht="13.5" thickBot="1">
      <c r="C40" s="109"/>
      <c r="D40" s="109"/>
      <c r="E40" s="37"/>
      <c r="F40" s="38" t="s">
        <v>193</v>
      </c>
      <c r="G40" s="37"/>
      <c r="H40" s="37"/>
      <c r="I40" s="37"/>
      <c r="J40" s="37"/>
      <c r="K40" s="37"/>
      <c r="L40" s="37"/>
      <c r="M40" s="37"/>
      <c r="N40" s="37"/>
      <c r="O40" s="37"/>
    </row>
    <row r="41" spans="1:15" ht="13.5" thickTop="1">
      <c r="A41" t="s">
        <v>194</v>
      </c>
      <c r="B41" s="184" t="s">
        <v>46</v>
      </c>
      <c r="C41" s="185"/>
      <c r="D41" s="148"/>
      <c r="E41" s="156" t="s">
        <v>51</v>
      </c>
      <c r="F41" s="157"/>
      <c r="G41" s="157" t="s">
        <v>179</v>
      </c>
      <c r="H41" s="157">
        <f>$B$7/(60.96*PI()*$B$5)*(LN(48*$B$5/$B$4*(1+SQRT(1+POWER($B$4/(48*$B$5),2))))+$B$4/(48*$B$5)-SQRT(1+POWER($B$4/(48*$B$5),2)))</f>
        <v>18.26520579047957</v>
      </c>
      <c r="I41" s="158" t="s">
        <v>180</v>
      </c>
      <c r="J41" s="157" t="s">
        <v>181</v>
      </c>
      <c r="K41" s="158" t="s">
        <v>182</v>
      </c>
      <c r="L41" s="157" t="s">
        <v>183</v>
      </c>
      <c r="M41" s="157"/>
      <c r="N41" s="157" t="s">
        <v>195</v>
      </c>
      <c r="O41" s="159" t="s">
        <v>183</v>
      </c>
    </row>
    <row r="42" spans="1:15" ht="12.75">
      <c r="A42" t="s">
        <v>196</v>
      </c>
      <c r="B42" s="149" t="s">
        <v>40</v>
      </c>
      <c r="C42" s="150" t="s">
        <v>50</v>
      </c>
      <c r="D42" s="108"/>
      <c r="E42" s="160" t="s">
        <v>52</v>
      </c>
      <c r="F42" s="161"/>
      <c r="G42" s="161" t="s">
        <v>184</v>
      </c>
      <c r="H42" s="161">
        <f>VLOOKUP($B$6,$K$42:$L$91,2)</f>
        <v>20.622822095479734</v>
      </c>
      <c r="I42" s="161">
        <v>1</v>
      </c>
      <c r="J42" s="161">
        <f>($B$7/(60.96*PI()*$B$5))*(LN((2*$B$5/($I$42*$B$8))*(1+SQRT(1+POWER($I$42*$B$8/(2*$B$5),2))))+$I$42*$B$8/(2*$B$5)-SQRT(1+POWER($I$42*$B$8/(2*$B$5),2)))</f>
        <v>3.7199657284657466</v>
      </c>
      <c r="K42" s="161">
        <v>1</v>
      </c>
      <c r="L42" s="161">
        <v>0</v>
      </c>
      <c r="M42" s="161"/>
      <c r="N42" s="161">
        <f>($B$7/(60.96*PI()*$B$5))*(LN(($B$5/(I42*$B$8))*(1+SQRT(1+POWER(I42*$B$8/($B$5),2))))+I42*$B$8/$B$5-SQRT(1+POWER(I42*$B$8/$B$5,2)))</f>
        <v>2.0137208089803478</v>
      </c>
      <c r="O42" s="162">
        <v>0</v>
      </c>
    </row>
    <row r="43" spans="2:15" ht="12.75">
      <c r="B43" s="151" t="s">
        <v>59</v>
      </c>
      <c r="C43" s="152">
        <v>0.000162</v>
      </c>
      <c r="D43" s="108"/>
      <c r="E43" s="160" t="s">
        <v>53</v>
      </c>
      <c r="F43" s="137">
        <f>IF(B11="S",IF(B6&gt;50,H43,SUM($H$41,$H$42)/$B$6),IF(B11="D",IF(B6&gt;20,H44,SUM($H$45,$H$46)/$B$6),"error"))</f>
        <v>1.9444013942979652</v>
      </c>
      <c r="G43" s="161" t="s">
        <v>185</v>
      </c>
      <c r="H43" s="110">
        <f>ROUND(($B$7/(60.96*PI()*$B$5*B6))*(LN(48*$B$5/$B$4*(1+SQRT(1+POWER($B$4/(48*$B$5),2))))+$B$4/(48*$B$5)-SQRT(1+POWER($B$4/(48*$B$5),2))+(2*$B$5/$B$8)*LN(0.656*$B$6)),4)</f>
        <v>1.9886</v>
      </c>
      <c r="I43" s="161">
        <v>2</v>
      </c>
      <c r="J43" s="161">
        <f>($B$7/(60.96*PI()*$B$5))*(LN((2*$B$5/($I$43*$B$8))*(1+SQRT(1+POWER($I$43*$B$8/(2*$B$5),2))))+$I$43*$B$8/(2*$B$5)-SQRT(1+POWER($I$43*$B$8/(2*$B$5),2)))</f>
        <v>2.0137208089803478</v>
      </c>
      <c r="K43" s="161">
        <v>2</v>
      </c>
      <c r="L43" s="161">
        <f>(2/K43)*$J$42</f>
        <v>3.7199657284657466</v>
      </c>
      <c r="M43" s="161"/>
      <c r="N43" s="161">
        <f>($B$7/(60.96*PI()*$B$5))*(LN(($B$5/($I$43*$B$8))*(1+SQRT(1+POWER($I$43*$B$8/$B$5,2))))+$I$43*$B$8/$B$5-SQRT(1+POWER($I$43*$B$8/$B$5,2)))</f>
        <v>1.0340346568667296</v>
      </c>
      <c r="O43" s="162">
        <f>(2/K43)*$N$42</f>
        <v>2.0137208089803478</v>
      </c>
    </row>
    <row r="44" spans="2:15" ht="12.75">
      <c r="B44" s="151" t="s">
        <v>58</v>
      </c>
      <c r="C44" s="152">
        <v>0.000259</v>
      </c>
      <c r="D44" s="108"/>
      <c r="E44" s="160" t="s">
        <v>54</v>
      </c>
      <c r="F44" s="163">
        <f>1/(B6*F43)</f>
        <v>0.025714855043113525</v>
      </c>
      <c r="G44" s="161" t="s">
        <v>197</v>
      </c>
      <c r="H44" s="110">
        <f>ROUND(($B$7/(60.96*PI()*$B$5*B6))*(LN(24*$B$5/$B$4*(1+SQRT(1+POWER($B$4/(24*$B$5),2))))+$B$4/(24*$B$5)-SQRT(1+POWER($B$4/(24*$B$5),2))+($B$5/$B$8)*LN(0.656*$B$6)),4)</f>
        <v>1.2545</v>
      </c>
      <c r="I44" s="161">
        <v>3</v>
      </c>
      <c r="J44" s="161">
        <f>($B$7/(60.96*PI()*$B$5))*(LN((2*$B$5/($I$44*$B$8))*(1+SQRT(1+POWER($I$44*$B$8/(2*$B$5),2))))+$I$44*$B$8/(2*$B$5)-SQRT(1+POWER($I$44*$B$8/(2*$B$5),2)))</f>
        <v>1.3686689144863764</v>
      </c>
      <c r="K44" s="161">
        <v>3</v>
      </c>
      <c r="L44" s="161">
        <f>(2/K44)*((K44-1)*$J$42+(K44-2)*$J$43)</f>
        <v>6.302434843941228</v>
      </c>
      <c r="M44" s="161"/>
      <c r="N44" s="161">
        <f>($B$7/(60.96*PI()*$B$5))*(LN(($B$5/($I$44*$B$8))*(1+SQRT(1+POWER($I$44*$B$8/$B$5,2))))+$I$44*$B$8/$B$5-SQRT(1+POWER($I$44*$B$8/$B$5,2)))</f>
        <v>0.6931074669606224</v>
      </c>
      <c r="O44" s="162">
        <f>(2/K44)*((K44-1)*$N$42+(K44-2)*$N$43)</f>
        <v>3.374317516551617</v>
      </c>
    </row>
    <row r="45" spans="2:15" ht="12.75">
      <c r="B45" s="151" t="s">
        <v>57</v>
      </c>
      <c r="C45" s="152">
        <v>0.00041</v>
      </c>
      <c r="D45" s="108"/>
      <c r="E45" s="160" t="s">
        <v>55</v>
      </c>
      <c r="F45" s="181">
        <f>VLOOKUP(B10,B43:C50,2,FALSE)*B8</f>
        <v>0.00102</v>
      </c>
      <c r="G45" s="161" t="s">
        <v>198</v>
      </c>
      <c r="H45" s="161">
        <f>$B$7/(60.96*PI()*$B$5)*(LN(24*$B$5/$B$4*(1+SQRT(1+POWER($B$4/(24*$B$5),2))))+$B$4/(24*$B$5)-SQRT(1+POWER($B$4/(24*$B$5),2)))</f>
        <v>14.336228414305422</v>
      </c>
      <c r="I45" s="161">
        <v>4</v>
      </c>
      <c r="J45" s="161">
        <f>($B$7/(60.96*PI()*$B$5))*(LN((2*$B$5/($I$45*$B$8))*(1+SQRT(1+POWER($I$45*$B$8/(2*$B$5),2))))+$I$45*$B$8/(2*$B$5)-SQRT(1+POWER($I$45*$B$8/(2*$B$5),2)))</f>
        <v>1.0340346568667296</v>
      </c>
      <c r="K45" s="161">
        <v>4</v>
      </c>
      <c r="L45" s="161">
        <f>(2/K45)*((K45-1)*$J$42+(K45-2)*$J$43+(K45-3)*$J$44)</f>
        <v>8.278003858922157</v>
      </c>
      <c r="M45" s="161"/>
      <c r="N45" s="161">
        <f>($B$7/(60.96*PI()*$B$5))*(LN(($B$5/($I$45*$B$8))*(1+SQRT(1+POWER($I$45*$B$8/$B$5,2))))+$I$45*$B$8/$B$5-SQRT(1+POWER($I$45*$B$8/$B$5,2)))</f>
        <v>0.5208413647554602</v>
      </c>
      <c r="O45" s="162">
        <f>(2/K45)*((K45-1)*$N$42+(K45-2)*$N$43+(K45-3)*$N$44)</f>
        <v>4.4011696038175625</v>
      </c>
    </row>
    <row r="46" spans="2:15" ht="12.75">
      <c r="B46" s="151" t="s">
        <v>56</v>
      </c>
      <c r="C46" s="152">
        <v>0.000654</v>
      </c>
      <c r="D46" s="108"/>
      <c r="E46" s="164" t="s">
        <v>61</v>
      </c>
      <c r="F46" s="163">
        <f>SQRT(F44*F45)</f>
        <v>0.005121440436437369</v>
      </c>
      <c r="G46" s="161" t="s">
        <v>199</v>
      </c>
      <c r="H46" s="161">
        <f>VLOOKUP($B$6,$K$42:$O$61,5)</f>
        <v>10.680770338880384</v>
      </c>
      <c r="I46" s="161">
        <v>5</v>
      </c>
      <c r="J46" s="161">
        <f>($B$7/(60.96*PI()*$B$5))*(LN((2*$B$5/($I$46*$B$8))*(1+SQRT(1+POWER($I$46*$B$8/(2*$B$5),2))))+$I$46*$B$8/(2*$B$5)-SQRT(1+POWER($I$46*$B$8/(2*$B$5),2)))</f>
        <v>0.8301247562969107</v>
      </c>
      <c r="K46" s="161">
        <v>5</v>
      </c>
      <c r="L46" s="161">
        <f>(2/K46)*((K46-1)*$J$42+(K46-2)*$J$43+(K46-3)*$J$44+(K46-4)*$J$45)</f>
        <v>9.876959130657404</v>
      </c>
      <c r="M46" s="161"/>
      <c r="N46" s="161">
        <f>($B$7/(60.96*PI()*$B$5))*(LN(($B$5/($I$46*$B$8))*(1+SQRT(1+POWER($I$46*$B$8/$B$5,2))))+$I$46*$B$8/$B$5-SQRT(1+POWER($I$46*$B$8/$B$5,2)))</f>
        <v>0.41705119503594473</v>
      </c>
      <c r="O46" s="162">
        <f>(2/K46)*((K46-1)*$N$42+(K46-2)*$N$43+(K46-3)*$N$44+(K46-4)*$N$45)</f>
        <v>5.2256174020793145</v>
      </c>
    </row>
    <row r="47" spans="2:15" ht="15.75">
      <c r="B47" s="151" t="s">
        <v>60</v>
      </c>
      <c r="C47" s="152">
        <v>0.00104</v>
      </c>
      <c r="D47" s="108"/>
      <c r="E47" s="160" t="s">
        <v>62</v>
      </c>
      <c r="F47" s="163">
        <f>SQRT(F45/F44)</f>
        <v>0.19916271850845602</v>
      </c>
      <c r="G47" s="161"/>
      <c r="H47" s="161"/>
      <c r="I47" s="161">
        <v>6</v>
      </c>
      <c r="J47" s="161">
        <f>($B$7/(60.96*PI()*$B$5))*(LN((2*$B$5/($I$47*$B$8))*(1+SQRT(1+POWER($I$47*$B$8/(2*$B$5),2))))+$I$47*$B$8/(2*$B$5)-SQRT(1+POWER($I$47*$B$8/(2*$B$5),2)))</f>
        <v>0.6931074669606224</v>
      </c>
      <c r="K47" s="161">
        <v>6</v>
      </c>
      <c r="L47" s="161">
        <f>(2/K47)*((K47-1)*$J$42+(K47-2)*$J$43+(K47-3)*$J$44+(K47-4)*$J$45+(K47-5)*$J$46)</f>
        <v>11.219637563913206</v>
      </c>
      <c r="M47" s="161"/>
      <c r="N47" s="161">
        <f>($B$7/(60.96*PI()*$B$5))*(LN(($B$5/($I$47*$B$8))*(1+SQRT(1+POWER($I$47*$B$8/$B$5,2))))+$I$47*$B$8/$B$5-SQRT(1+POWER($I$47*$B$8/$B$5,2)))</f>
        <v>0.34771468244375825</v>
      </c>
      <c r="O47" s="162">
        <f>(2/K47)*((K47-1)*$N$42+(K47-2)*$N$43+(K47-3)*$N$44+(K47-4)*$N$45+(K47-5)*$N$46)</f>
        <v>5.91426633259913</v>
      </c>
    </row>
    <row r="48" spans="2:15" ht="15.75">
      <c r="B48" s="151" t="s">
        <v>47</v>
      </c>
      <c r="C48" s="152">
        <v>0.000102</v>
      </c>
      <c r="D48" s="108"/>
      <c r="E48" s="160" t="s">
        <v>63</v>
      </c>
      <c r="F48" s="161">
        <f>IF(B6=1,F43,F47*(1/TANH(F46*B6)))</f>
        <v>1.9511966428258383</v>
      </c>
      <c r="G48" s="161"/>
      <c r="H48" s="161"/>
      <c r="I48" s="161">
        <v>7</v>
      </c>
      <c r="J48" s="161">
        <f>($B$7/(60.96*PI()*$B$5))*(LN((2*$B$5/($I$48*$B$8))*(1+SQRT(1+POWER($I$48*$B$8/(2*$B$5),2))))+$I$48*$B$8/(2*$B$5)-SQRT(1+POWER($I$48*$B$8/(2*$B$5),2)))</f>
        <v>0.5947907069632249</v>
      </c>
      <c r="K48" s="161">
        <v>7</v>
      </c>
      <c r="L48" s="161">
        <f>(2/K48)*((K48-1)*$J$42+(K48-2)*$J$43+(K48-3)*$J$44+(K48-4)*$J$45+(K48-5)*$J$46+(K48-6)*$J$47)</f>
        <v>12.376724292513241</v>
      </c>
      <c r="M48" s="161"/>
      <c r="N48" s="161">
        <f>($B$7/(60.96*PI()*$B$5))*(LN(($B$5/($I$48*$B$8))*(1+SQRT(1+POWER($I$48*$B$8/$B$5,2))))+$I$48*$B$8/$B$5-SQRT(1+POWER($I$48*$B$8/$B$5,2)))</f>
        <v>0.2981303151356153</v>
      </c>
      <c r="O48" s="162">
        <f>(2/K48)*((K48-1)*$N$42+(K48-2)*$N$43+(K48-3)*$N$44+(K48-4)*$N$45+(K48-5)*$N$46+(K48-6)*$N$47)</f>
        <v>6.505505477954358</v>
      </c>
    </row>
    <row r="49" spans="2:15" ht="15.75">
      <c r="B49" s="151" t="s">
        <v>48</v>
      </c>
      <c r="C49" s="152">
        <v>8.11E-05</v>
      </c>
      <c r="D49" s="108"/>
      <c r="E49" s="160" t="s">
        <v>64</v>
      </c>
      <c r="F49" s="161">
        <v>1</v>
      </c>
      <c r="G49" s="161"/>
      <c r="H49" s="161"/>
      <c r="I49" s="161">
        <v>8</v>
      </c>
      <c r="J49" s="161">
        <f>($B$7/(60.96*PI()*$B$5))*(LN((2*$B$5/($I$49*$B$8))*(1+SQRT(1+POWER($I$49*$B$8/(2*$B$5),2))))+$I$49*$B$8/(2*$B$5)-SQRT(1+POWER($I$49*$B$8/(2*$B$5),2)))</f>
        <v>0.5208413647554602</v>
      </c>
      <c r="K49" s="161">
        <v>8</v>
      </c>
      <c r="L49" s="161">
        <f>(2/K49)*((K49-1)*$J$42+(K49-2)*$J$43+(K49-3)*$J$44+(K49-4)*$J$45+(K49-5)*$J$46+(K49-6)*$J$47+(K49-7)*$J$48)</f>
        <v>13.393237015704079</v>
      </c>
      <c r="M49" s="161"/>
      <c r="N49" s="161">
        <f>($B$7/(60.96*PI()*$B$5))*(LN(($B$5/($I$49*$B$8))*(1+SQRT(1+POWER($I$49*$B$8/$B$5,2))))+$I$49*$B$8/$B$5-SQRT(1+POWER($I$49*$B$8/$B$5,2)))</f>
        <v>0.2609147496109924</v>
      </c>
      <c r="O49" s="162">
        <f>(2/K49)*((K49-1)*$N$42+(K49-2)*$N$43+(K49-3)*$N$44+(K49-4)*$N$45+(K49-5)*$N$46+(K49-6)*$N$47+(K49-7)*$N$48)</f>
        <v>7.023467415754682</v>
      </c>
    </row>
    <row r="50" spans="2:15" ht="16.5" thickBot="1">
      <c r="B50" s="153" t="s">
        <v>49</v>
      </c>
      <c r="C50" s="154">
        <v>5.09E-05</v>
      </c>
      <c r="D50" s="155"/>
      <c r="E50" s="160" t="s">
        <v>65</v>
      </c>
      <c r="F50" s="161">
        <f>F49/F48</f>
        <v>0.5125060068531796</v>
      </c>
      <c r="G50" s="161"/>
      <c r="H50" s="161"/>
      <c r="I50" s="161">
        <v>9</v>
      </c>
      <c r="J50" s="161">
        <f>($B$7/(60.96*PI()*$B$5))*(LN((2*$B$5/($I$50*$B$8))*(1+SQRT(1+POWER($I$50*$B$8/(2*$B$5),2))))+$I$50*$B$8/(2*$B$5)-SQRT(1+POWER($I$50*$B$8/(2*$B$5),2)))</f>
        <v>0.46321469303985574</v>
      </c>
      <c r="K50" s="161">
        <v>9</v>
      </c>
      <c r="L50" s="161">
        <f>(2/K50)*((K50-1)*$J$42+(K50-2)*$J$43+(K50-3)*$J$44+(K50-4)*$J$45+(K50-5)*$J$46+(K50-6)*$J$47+(K50-7)*$J$48+(K50-8)*$J$49)</f>
        <v>14.299600548131494</v>
      </c>
      <c r="M50" s="161"/>
      <c r="N50" s="161">
        <f>($B$7/(60.96*PI()*$B$5))*(LN(($B$5/($I$50*$B$8))*(1+SQRT(1+POWER($I$50*$B$8/$B$5,2))))+$I$50*$B$8/$B$5-SQRT(1+POWER($I$50*$B$8/$B$5,2)))</f>
        <v>0.2319551704240353</v>
      </c>
      <c r="O50" s="162">
        <f>(2/K50)*((K50-1)*$N$42+(K50-2)*$N$43+(K50-3)*$N$44+(K50-4)*$N$45+(K50-5)*$N$46+(K50-6)*$N$47+(K50-7)*$N$48+(K50-8)*$N$49)</f>
        <v>7.484307756179598</v>
      </c>
    </row>
    <row r="51" spans="4:15" ht="15.75">
      <c r="D51" s="108"/>
      <c r="E51" s="160" t="s">
        <v>67</v>
      </c>
      <c r="F51" s="161">
        <f>F49*COSH(F46*B6)-F47*F50*SINH(F46*B6)</f>
        <v>0.9947770044233165</v>
      </c>
      <c r="G51" s="161"/>
      <c r="H51" s="161"/>
      <c r="I51" s="161">
        <v>10</v>
      </c>
      <c r="J51" s="161">
        <f>($B$7/(60.96*PI()*$B$5))*(LN((2*$B$5/($I$51*$B$8))*(1+SQRT(1+POWER($I$51*$B$8/(2*$B$5),2))))+$I$51*$B$8/(2*$B$5)-SQRT(1+POWER($I$51*$B$8/(2*$B$5),2)))</f>
        <v>0.41705119503594473</v>
      </c>
      <c r="K51" s="161">
        <v>10</v>
      </c>
      <c r="L51" s="161">
        <f>(2/K51)*((K51-1)*$J$42+(K51-2)*$J$43+(K51-3)*$J$44+(K51-4)*$J$45+(K51-5)*$J$46+(K51-6)*$J$47+(K51-7)*$J$48+(K51-8)*$J$49+(K51-9)*$J$50)</f>
        <v>15.117334312681402</v>
      </c>
      <c r="M51" s="161"/>
      <c r="N51" s="161">
        <f>($B$7/(60.96*PI()*$B$5))*(LN(($B$5/($I$51*$B$8))*(1+SQRT(1+POWER($I$51*$B$8/$B$5,2))))+$I$51*$B$8/$B$5-SQRT(1+POWER($I$51*$B$8/$B$5,2)))</f>
        <v>0.20877959336981494</v>
      </c>
      <c r="O51" s="162">
        <f>(2/K51)*((K51-1)*$N$42+(K51-2)*$N$43+(K51-3)*$N$44+(K51-4)*$N$45+(K51-5)*$N$46+(K51-6)*$N$47+(K51-7)*$N$48+(K51-8)*$N$49+(K51-9)*$N$50)</f>
        <v>7.899371062604344</v>
      </c>
    </row>
    <row r="52" spans="4:15" ht="12.75">
      <c r="D52" s="108"/>
      <c r="E52" s="160" t="s">
        <v>66</v>
      </c>
      <c r="F52" s="161">
        <f>IF(B6=1,1,F49/F51)</f>
        <v>1.0052504184892284</v>
      </c>
      <c r="G52" s="161"/>
      <c r="H52" s="161"/>
      <c r="I52" s="161">
        <v>11</v>
      </c>
      <c r="J52" s="161">
        <f>($B$7/(60.96*PI()*$B$5))*(LN((2*$B$5/($I$52*$B$8))*(1+SQRT(1+POWER($I$52*$B$8/(2*$B$5),2))))+$I$52*$B$8/(2*$B$5)-SQRT(1+POWER($I$52*$B$8/(2*$B$5),2)))</f>
        <v>0.37924395695470503</v>
      </c>
      <c r="K52" s="161">
        <v>11</v>
      </c>
      <c r="L52" s="161">
        <f>(2/K52)*((K52-1)*$J$42+(K52-2)*$J$43+(K52-3)*$J$44+(K52-4)*$J$45+(K52-5)*$J$46+(K52-6)*$J$47+(K52-7)*$J$48+(K52-8)*$J$49+(K52-9)*$J$50+(K52-10)*$J$51)</f>
        <v>15.86221670095604</v>
      </c>
      <c r="M52" s="161"/>
      <c r="N52" s="161">
        <f>($B$7/(60.96*PI()*$B$5))*(LN(($B$5/($I$52*$B$8))*(1+SQRT(1+POWER($I$52*$B$8/$B$5,2))))+$I$52*$B$8/$B$5-SQRT(1+POWER($I$52*$B$8/$B$5,2)))</f>
        <v>0.18981305047911484</v>
      </c>
      <c r="O52" s="162">
        <f>(2/K52)*((K52-1)*$N$42+(K52-2)*$N$43+(K52-3)*$N$44+(K52-4)*$N$45+(K52-5)*$N$46+(K52-6)*$N$47+(K52-7)*$N$48+(K52-8)*$N$49+(K52-9)*$N$50+(K52-10)*$N$51)</f>
        <v>8.276928239382732</v>
      </c>
    </row>
    <row r="53" spans="4:15" ht="12.75">
      <c r="D53" s="108"/>
      <c r="E53" s="160" t="s">
        <v>68</v>
      </c>
      <c r="F53" s="182">
        <f>VLOOKUP(B10,B43:C50,2,FALSE)*B9</f>
        <v>0.0204</v>
      </c>
      <c r="G53" s="161"/>
      <c r="H53" s="161"/>
      <c r="I53" s="161">
        <v>12</v>
      </c>
      <c r="J53" s="161">
        <f>($B$7/(60.96*PI()*$B$5))*(LN((2*$B$5/($I$53*$B$8))*(1+SQRT(1+POWER($I$53*$B$8/(2*$B$5),2))))+$I$53*$B$8/(2*$B$5)-SQRT(1+POWER($I$53*$B$8/(2*$B$5),2)))</f>
        <v>0.34771468244375825</v>
      </c>
      <c r="K53" s="161">
        <v>12</v>
      </c>
      <c r="L53" s="161">
        <f>(2/K53)*((K53-1)*$J$42+(K53-2)*$J$43+(K53-3)*$J$44+(K53-4)*$J$45+(K53-5)*$J$46+(K53-6)*$J$47+(K53-7)*$J$48+(K53-8)*$J$49+(K53-9)*$J$50+(K53-10)*$J$51+(K53-11)*$J$52)</f>
        <v>16.546159350677357</v>
      </c>
      <c r="M53" s="161"/>
      <c r="N53" s="161">
        <f>($B$7/(60.96*PI()*$B$5))*(LN(($B$5/($I$53*$B$8))*(1+SQRT(1+POWER($I$53*$B$8/$B$5,2))))+$I$53*$B$8/$B$5-SQRT(1+POWER($I$53*$B$8/$B$5,2)))</f>
        <v>0.17400465698932782</v>
      </c>
      <c r="O53" s="162">
        <f>(2/K53)*((K53-1)*$N$42+(K53-2)*$N$43+(K53-3)*$N$44+(K53-4)*$N$45+(K53-5)*$N$46+(K53-6)*$N$47+(K53-7)*$N$48+(K53-8)*$N$49+(K53-9)*$N$50+(K53-10)*$N$51+(K53-11)*$N$52)</f>
        <v>8.623194728444576</v>
      </c>
    </row>
    <row r="54" spans="4:15" ht="12.75">
      <c r="D54" s="108"/>
      <c r="E54" s="160" t="s">
        <v>69</v>
      </c>
      <c r="F54" s="165">
        <f>SUM(F48,F53)</f>
        <v>1.9715966428258382</v>
      </c>
      <c r="G54" s="161"/>
      <c r="H54" s="161"/>
      <c r="I54" s="161">
        <v>13</v>
      </c>
      <c r="J54" s="161">
        <f>($B$7/(60.96*PI()*$B$5))*(LN((2*$B$5/($I$54*$B$8))*(1+SQRT(1+POWER($I$54*$B$8/(2*$B$5),2))))+$I$54*$B$8/(2*$B$5)-SQRT(1+POWER($I$54*$B$8/(2*$B$5),2)))</f>
        <v>0.32102091082237266</v>
      </c>
      <c r="K54" s="161">
        <v>13</v>
      </c>
      <c r="L54" s="161">
        <f>(2/K54)*((K54-1)*$J$42+(K54-2)*$J$43+(K54-3)*$J$44+(K54-4)*$J$45+(K54-5)*$J$46+(K54-6)*$J$47+(K54-7)*$J$48+(K54-8)*$J$49+(K54-9)*$J$50+(K54-10)*$J$51+(K54-11)*$J$52+(K54-12)*$J$53)</f>
        <v>17.17837462081751</v>
      </c>
      <c r="M54" s="161"/>
      <c r="N54" s="161">
        <f>($B$7/(60.96*PI()*$B$5))*(LN(($B$5/($I$54*$B$8))*(1+SQRT(1+POWER($I$54*$B$8/$B$5,2))))+$I$54*$B$8/$B$5-SQRT(1+POWER($I$54*$B$8/$B$5,2)))</f>
        <v>0.16062641015609655</v>
      </c>
      <c r="O54" s="162">
        <f>(2/K54)*((K54-1)*$N$42+(K54-2)*$N$43+(K54-3)*$N$44+(K54-4)*$N$45+(K54-5)*$N$46+(K54-6)*$N$47+(K54-7)*$N$48+(K54-8)*$N$49+(K54-9)*$N$50+(K54-10)*$N$51+(K54-11)*$N$52+(K54-12)*$N$53)</f>
        <v>8.942959397187574</v>
      </c>
    </row>
    <row r="55" spans="4:15" ht="12.75">
      <c r="D55" s="108"/>
      <c r="E55" s="160"/>
      <c r="F55" s="161"/>
      <c r="G55" s="161"/>
      <c r="H55" s="161"/>
      <c r="I55" s="161">
        <v>14</v>
      </c>
      <c r="J55" s="161">
        <f>($B$7/(60.96*PI()*$B$5))*(LN((2*$B$5/($I$55*$B$8))*(1+SQRT(1+POWER($I$55*$B$8/(2*$B$5),2))))+$I$55*$B$8/(2*$B$5)-SQRT(1+POWER($I$55*$B$8/(2*$B$5),2)))</f>
        <v>0.2981303151356153</v>
      </c>
      <c r="K55" s="161">
        <v>14</v>
      </c>
      <c r="L55" s="161">
        <f>(2/K55)*((K55-1)*$J$42+(K55-2)*$J$43+(K55-3)*$J$44+(K55-4)*$J$45+(K55-5)*$J$46+(K55-6)*$J$47+(K55-7)*$J$48+(K55-8)*$J$49+(K55-9)*$J$50+(K55-10)*$J$51+(K55-11)*$J$52+(K55-12)*$J$53+(K55-13)*$J$54)</f>
        <v>17.76613355391227</v>
      </c>
      <c r="M55" s="161"/>
      <c r="N55" s="161">
        <f>($B$7/(60.96*PI()*$B$5))*(LN(($B$5/($I$55*$B$8))*(1+SQRT(1+POWER($I$55*$B$8/$B$5,2))))+$I$55*$B$8/$B$5-SQRT(1+POWER($I$55*$B$8/$B$5,2)))</f>
        <v>0.14915805272994773</v>
      </c>
      <c r="O55" s="162">
        <f>(2/K55)*((K55-1)*$N$42+(K55-2)*$N$43+(K55-3)*$N$44+(K55-4)*$N$45+(K55-5)*$N$46+(K55-6)*$N$47+(K55-7)*$N$48+(K55-8)*$N$49+(K55-9)*$N$50+(K55-10)*$N$51+(K55-11)*$N$52+(K55-12)*$N$53+(K55-13)*$N$54)</f>
        <v>9.239990028989583</v>
      </c>
    </row>
    <row r="56" spans="4:15" ht="12.75">
      <c r="D56" s="108"/>
      <c r="E56" s="160"/>
      <c r="F56" s="161"/>
      <c r="G56" s="161"/>
      <c r="H56" s="161"/>
      <c r="I56" s="161">
        <v>15</v>
      </c>
      <c r="J56" s="161">
        <f>($B$7/(60.96*PI()*$B$5))*(LN((2*$B$5/($I$56*$B$8))*(1+SQRT(1+POWER($I$56*$B$8/(2*$B$5),2))))+$I$56*$B$8/(2*$B$5)-SQRT(1+POWER($I$56*$B$8/(2*$B$5),2)))</f>
        <v>0.2782847054322204</v>
      </c>
      <c r="K56" s="161">
        <v>15</v>
      </c>
      <c r="L56" s="161">
        <f>(2/K56)*((K56-1)*$J$42+(K56-2)*$J$43+(K56-3)*$J$44+(K56-4)*$J$45+(K56-5)*$J$46+(K56-6)*$J$47+(K56-7)*$J$48+(K56-8)*$J$49+(K56-9)*$J$50+(K56-10)*$J$51+(K56-11)*$J$52+(K56-12)*$J$53+(K56-13)*$J$54+(K56-14)*$J$55)</f>
        <v>18.31527533794581</v>
      </c>
      <c r="M56" s="161"/>
      <c r="N56" s="161">
        <f>($B$7/(60.96*PI()*$B$5))*(LN(($B$5/($I$56*$B$8))*(1+SQRT(1+POWER($I$56*$B$8/$B$5,2))))+$I$56*$B$8/$B$5-SQRT(1+POWER($I$56*$B$8/$B$5,2)))</f>
        <v>0.13921791624616325</v>
      </c>
      <c r="O56" s="162">
        <f>(2/K56)*((K56-1)*$N$42+(K56-2)*$N$43+(K56-3)*$N$44+(K56-4)*$N$45+(K56-5)*$N$46+(K56-6)*$N$47+(K56-7)*$N$48+(K56-8)*$N$49+(K56-9)*$N$50+(K56-10)*$N$51+(K56-11)*$N$52+(K56-12)*$N$53+(K56-13)*$N$54+(K56-14)*$N$55)</f>
        <v>9.517304316915318</v>
      </c>
    </row>
    <row r="57" spans="4:15" ht="12.75">
      <c r="D57" s="108"/>
      <c r="E57" s="160"/>
      <c r="F57" s="161"/>
      <c r="G57" s="161"/>
      <c r="H57" s="161"/>
      <c r="I57" s="161">
        <v>16</v>
      </c>
      <c r="J57" s="161">
        <f>($B$7/(60.96*PI()*$B$5))*(LN((2*$B$5/($I$57*$B$8))*(1+SQRT(1+POWER($I$57*$B$8/(2*$B$5),2))))+$I$57*$B$8/(2*$B$5)-SQRT(1+POWER($I$57*$B$8/(2*$B$5),2)))</f>
        <v>0.2609147496109924</v>
      </c>
      <c r="K57" s="161">
        <v>16</v>
      </c>
      <c r="L57" s="161">
        <f>(2/K57)*((K57-1)*$J$42+(K57-2)*$J$43+(K57-3)*$J$44+(K57-4)*$J$45+(K57-5)*$J$46+(K57-6)*$J$47+(K57-7)*$J$48+(K57-8)*$J$49+(K57-9)*$J$50+(K57-10)*$J$51+(K57-11)*$J$52+(K57-12)*$J$53+(K57-13)*$J$54+(K57-14)*$J$55+(K57-15)*$J$56)</f>
        <v>18.830559987154178</v>
      </c>
      <c r="M57" s="161"/>
      <c r="N57" s="161">
        <f>($B$7/(60.96*PI()*$B$5))*(LN(($B$5/($I$57*$B$8))*(1+SQRT(1+POWER($I$57*$B$8/$B$5,2))))+$I$57*$B$8/$B$5-SQRT(1+POWER($I$57*$B$8/$B$5,2)))</f>
        <v>0.13051966175709542</v>
      </c>
      <c r="O57" s="162">
        <f>(2/K57)*((K57-1)*$N$42+(K57-2)*$N$43+(K57-3)*$N$44+(K57-4)*$N$45+(K57-5)*$N$46+(K57-6)*$N$47+(K57-7)*$N$48+(K57-8)*$N$49+(K57-9)*$N$50+(K57-10)*$N$51+(K57-11)*$N$52+(K57-12)*$N$53+(K57-13)*$N$54+(K57-14)*$N$55+(K57-15)*$N$56)</f>
        <v>9.777356558381108</v>
      </c>
    </row>
    <row r="58" spans="4:15" ht="12.75">
      <c r="D58" s="108"/>
      <c r="E58" s="160"/>
      <c r="F58" s="161"/>
      <c r="G58" s="161"/>
      <c r="H58" s="161"/>
      <c r="I58" s="161">
        <v>17</v>
      </c>
      <c r="J58" s="161">
        <f>($B$7/(60.96*PI()*$B$5))*(LN((2*$B$5/($I$58*$B$8))*(1+SQRT(1+POWER($I$58*$B$8/(2*$B$5),2))))+$I$58*$B$8/(2*$B$5)-SQRT(1+POWER($I$58*$B$8/(2*$B$5),2)))</f>
        <v>0.2455846478155522</v>
      </c>
      <c r="K58" s="161">
        <v>17</v>
      </c>
      <c r="L58" s="161">
        <f>(2/K58)*((K58-1)*$J$42+(K58-2)*$J$43+(K58-3)*$J$44+(K58-4)*$J$45+(K58-5)*$J$46+(K58-6)*$J$47+(K58-7)*$J$48+(K58-8)*$J$49+(K58-9)*$J$50+(K58-10)*$J$51+(K58-11)*$J$52+(K58-12)*$J$53+(K58-13)*$J$54+(K58-14)*$J$55+(K58-15)*$J$56+(K58-16)*$J$57)</f>
        <v>19.31591876582169</v>
      </c>
      <c r="M58" s="161"/>
      <c r="N58" s="161">
        <f>($B$7/(60.96*PI()*$B$5))*(LN(($B$5/($I$58*$B$8))*(1+SQRT(1+POWER($I$58*$B$8/$B$5,2))))+$I$58*$B$8/$B$5-SQRT(1+POWER($I$58*$B$8/$B$5,2)))</f>
        <v>0.12284426990218805</v>
      </c>
      <c r="O58" s="162">
        <f>(2/K58)*((K58-1)*$N$42+(K58-2)*$N$43+(K58-3)*$N$44+(K58-4)*$N$45+(K58-5)*$N$46+(K58-6)*$N$47+(K58-7)*$N$48+(K58-8)*$N$49+(K58-9)*$N$50+(K58-10)*$N$51+(K58-11)*$N$52+(K58-12)*$N$53+(K58-13)*$N$54+(K58-14)*$N$55+(K58-15)*$N$56+(K58-16)*$N$57)</f>
        <v>10.022169672822345</v>
      </c>
    </row>
    <row r="59" spans="4:15" ht="12.75">
      <c r="D59" s="108"/>
      <c r="E59" s="160"/>
      <c r="F59" s="161"/>
      <c r="G59" s="161"/>
      <c r="H59" s="161"/>
      <c r="I59" s="161">
        <v>18</v>
      </c>
      <c r="J59" s="161">
        <f>($B$7/(60.96*PI()*$B$5))*(LN((2*$B$5/($I$59*$B$8))*(1+SQRT(1+POWER($I$59*$B$8/(2*$B$5),2))))+$I$59*$B$8/(2*$B$5)-SQRT(1+POWER($I$59*$B$8/(2*$B$5),2)))</f>
        <v>0.2319551704240353</v>
      </c>
      <c r="K59" s="161">
        <v>18</v>
      </c>
      <c r="L59" s="161">
        <f>(2/K59)*((K59-1)*$J$42+(K59-2)*$J$43+(K59-3)*$J$44+(K59-4)*$J$45+(K59-5)*$J$46+(K59-6)*$J$47+(K59-7)*$J$48+(K59-8)*$J$49+(K59-9)*$J$50+(K59-10)*$J$51+(K59-11)*$J$52+(K59-12)*$J$53+(K59-13)*$J$54+(K59-14)*$J$55+(K59-15)*$J$56+(K59-16)*$J$57+(K59-17)*$J$58)</f>
        <v>19.774635974394524</v>
      </c>
      <c r="M59" s="161"/>
      <c r="N59" s="161">
        <f>($B$7/(60.96*PI()*$B$5))*(LN(($B$5/($I$59*$B$8))*(1+SQRT(1+POWER($I$59*$B$8/$B$5,2))))+$I$59*$B$8/$B$5-SQRT(1+POWER($I$59*$B$8/$B$5,2)))</f>
        <v>0.11602135759599885</v>
      </c>
      <c r="O59" s="162">
        <f>(2/K59)*((K59-1)*$N$42+(K59-2)*$N$43+(K59-3)*$N$44+(K59-4)*$N$45+(K59-5)*$N$46+(K59-6)*$N$47+(K59-7)*$N$48+(K59-8)*$N$49+(K59-9)*$N$50+(K59-10)*$N$51+(K59-11)*$N$52+(K59-12)*$N$53+(K59-13)*$N$54+(K59-14)*$N$55+(K59-15)*$N$56+(K59-16)*$N$57+(K59-17)*$N$58)</f>
        <v>10.25343069342591</v>
      </c>
    </row>
    <row r="60" spans="4:15" ht="12.75">
      <c r="D60" s="108"/>
      <c r="E60" s="160"/>
      <c r="F60" s="161"/>
      <c r="G60" s="161"/>
      <c r="H60" s="161"/>
      <c r="I60" s="161">
        <v>19</v>
      </c>
      <c r="J60" s="161">
        <f>($B$7/(60.96*PI()*$B$5))*(LN((2*$B$5/($I$60*$B$8))*(1+SQRT(1+POWER($I$60*$B$8/(2*$B$5),2))))+$I$60*$B$8/(2*$B$5)-SQRT(1+POWER($I$60*$B$8/(2*$B$5),2)))</f>
        <v>0.21975832426566427</v>
      </c>
      <c r="K60" s="161">
        <v>19</v>
      </c>
      <c r="L60" s="161">
        <f>(2/K60)*((K60-1)*$J$42+(K60-2)*$J$43+(K60-3)*$J$44+(K60-4)*$J$45+(K60-5)*$J$46+(K60-6)*$J$47+(K60-7)*$J$48+(K60-8)*$J$49+(K60-9)*$J$50+(K60-10)*$J$51+(K60-11)*$J$52+(K60-12)*$J$53+(K60-13)*$J$54+(K60-14)*$J$55+(K60-15)*$J$56+(K60-16)*$J$57+(K60-17)*$J$58+(K60-18)*$J$59)</f>
        <v>20.209483494741185</v>
      </c>
      <c r="M60" s="161"/>
      <c r="N60" s="161">
        <f>($B$7/(60.96*PI()*$B$5))*(LN(($B$5/($I$60*$B$8))*(1+SQRT(1+POWER($I$60*$B$8/$B$5,2))))+$I$60*$B$8/$B$5-SQRT(1+POWER($I$60*$B$8/$B$5,2)))</f>
        <v>0.10991638909215073</v>
      </c>
      <c r="O60" s="162">
        <f>(2/K60)*((K60-1)*$N$42+(K60-2)*$N$43+(K60-3)*$N$44+(K60-4)*$N$45+(K60-5)*$N$46+(K60-6)*$N$47+(K60-7)*$N$48+(K60-8)*$N$49+(K60-9)*$N$50+(K60-10)*$N$51+(K60-11)*$N$52+(K60-12)*$N$53+(K60-13)*$N$54+(K60-14)*$N$55+(K60-15)*$N$56+(K60-16)*$N$57+(K60-17)*$N$58+(K60-18)*$N$59)</f>
        <v>10.47256122318657</v>
      </c>
    </row>
    <row r="61" spans="4:15" ht="12.75">
      <c r="D61" s="108"/>
      <c r="E61" s="160"/>
      <c r="F61" s="161"/>
      <c r="G61" s="161"/>
      <c r="H61" s="161"/>
      <c r="I61" s="161">
        <v>20</v>
      </c>
      <c r="J61" s="161">
        <f>($B$7/(60.96*PI()*$B$5))*(LN((2*$B$5/($I$61*$B$8))*(1+SQRT(1+POWER($I$61*$B$8/(2*$B$5),2))))+$I$61*$B$8/(2*$B$5)-SQRT(1+POWER($I$61*$B$8/(2*$B$5),2)))</f>
        <v>0.20877959336981494</v>
      </c>
      <c r="K61" s="161">
        <v>20</v>
      </c>
      <c r="L61" s="161">
        <f>(2/K61)*((K61-1)*$J$42+(K61-2)*$J$43+(K61-3)*$J$44+(K61-4)*$J$45+(K61-5)*$J$46+(K61-6)*$J$47+(K61-7)*$J$48+(K61-8)*$J$49+(K61-9)*$J$50+(K61-10)*$J$51+(K61-11)*$J$52+(K61-12)*$J$53+(K61-13)*$J$54+(K61-14)*$J$55+(K61-15)*$J$56+(K61-16)*$J$57+(K61-17)*$J$58+(K61-18)*$J$59+(K61-19)*$J$60)</f>
        <v>20.622822095479734</v>
      </c>
      <c r="M61" s="161"/>
      <c r="N61" s="161">
        <f>($B$7/(60.96*PI()*$B$5))*(LN(($B$5/($I$61*$B$8))*(1+SQRT(1+POWER($I$61*$B$8/$B$5,2))))+$I$61*$B$8/$B$5-SQRT(1+POWER($I$61*$B$8/$B$5,2)))</f>
        <v>0.10442172046741065</v>
      </c>
      <c r="O61" s="162">
        <f>(2/K61)*((K61-1)*$N$42+(K61-2)*$N$43+(K61-3)*$N$44+(K61-4)*$N$45+(K61-5)*$N$46+(K61-6)*$N$47+(K61-7)*$N$48+(K61-8)*$N$49+(K61-9)*$N$50+(K61-10)*$N$51+(K61-11)*$N$52+(K61-12)*$N$53+(K61-13)*$N$54+(K61-14)*$N$55+(K61-15)*$N$56+(K61-16)*$N$57+(K61-17)*$N$58+(K61-18)*$N$59+(K61-19)*$N$60)</f>
        <v>10.680770338880384</v>
      </c>
    </row>
    <row r="62" spans="4:15" ht="12.75">
      <c r="D62" s="108"/>
      <c r="E62" s="160"/>
      <c r="F62" s="161"/>
      <c r="G62" s="161"/>
      <c r="H62" s="161"/>
      <c r="I62" s="161">
        <v>21</v>
      </c>
      <c r="J62" s="161">
        <f>($B$7/(60.96*PI()*$B$5))*(LN((2*$B$5/($I$62*$B$8))*(1+SQRT(1+POWER($I$62*$B$8/(2*$B$5),2))))+$I$62*$B$8/(2*$B$5)-SQRT(1+POWER($I$62*$B$8/(2*$B$5),2)))</f>
        <v>0.19884523841537605</v>
      </c>
      <c r="K62" s="161">
        <v>21</v>
      </c>
      <c r="L62" s="161">
        <f>(2/K62)*((K62-1)*$J$42+(K62-2)*$J$43+(K62-3)*$J$44+(K62-4)*$J$45+(K62-5)*$J$46+(K62-6)*$J$47+(K62-7)*$J$48+(K62-8)*$J$49+(K62-9)*$J$50+(K62-10)*$J$51+(K62-11)*$J$52+(K62-12)*$J$53+(K62-13)*$J$54+(K62-14)*$J$55+(K62-15)*$J$56+(K62-16)*$J$57+(K62-17)*$J$58+(K62-18)*$J$59+(K62-19)*$J$60+(K62-20)*$J$61)</f>
        <v>21.0166788859927</v>
      </c>
      <c r="M62" s="161"/>
      <c r="N62" s="161">
        <f>($B$7/(60.96*PI()*$B$5))*(LN(($B$5/($I$62*$B$8))*(1+SQRT(1+POWER($I$62*$B$8/$B$5,2))))+$I$62*$B$8/$B$5-SQRT(1+POWER($I$62*$B$8/$B$5,2)))</f>
        <v>0.09945020087041756</v>
      </c>
      <c r="O62" s="162"/>
    </row>
    <row r="63" spans="4:15" ht="12.75">
      <c r="D63" s="108"/>
      <c r="E63" s="160"/>
      <c r="F63" s="161"/>
      <c r="G63" s="161"/>
      <c r="H63" s="161"/>
      <c r="I63" s="161">
        <v>22</v>
      </c>
      <c r="J63" s="161">
        <f>($B$7/(60.96*PI()*$B$5))*(LN((2*$B$5/($I$63*$B$8))*(1+SQRT(1+POWER($I$63*$B$8/(2*$B$5),2))))+$I$63*$B$8/(2*$B$5)-SQRT(1+POWER($I$63*$B$8/(2*$B$5),2)))</f>
        <v>0.18981305047911484</v>
      </c>
      <c r="K63" s="161">
        <v>22</v>
      </c>
      <c r="L63" s="161">
        <f>(2/K63)*((K63-1)*$J$42+(K63-2)*$J$43+(K63-3)*$J$44+(K63-4)*$J$45+(K63-5)*$J$46+(K63-6)*$J$47+(K63-7)*$J$48+(K63-8)*$J$49+(K63-9)*$J$50+(K63-10)*$J$51+(K63-11)*$J$52+(K63-12)*$J$53+(K63-13)*$J$54+(K63-14)*$J$55+(K63-15)*$J$56+(K63-16)*$J$57+(K63-17)*$J$58+(K63-18)*$J$59+(K63-19)*$J$60+(K63-20)*$J$61+(K63-21)*$J$62)</f>
        <v>21.392807353587703</v>
      </c>
      <c r="M63" s="161"/>
      <c r="N63" s="161">
        <f>($B$7/(60.96*PI()*$B$5))*(LN(($B$5/($I$63*$B$8))*(1+SQRT(1+POWER($I$63*$B$8/$B$5,2))))+$I$63*$B$8/$B$5-SQRT(1+POWER($I$63*$B$8/$B$5,2)))</f>
        <v>0.09493051768074089</v>
      </c>
      <c r="O63" s="162"/>
    </row>
    <row r="64" spans="4:15" ht="12.75">
      <c r="D64" s="108"/>
      <c r="E64" s="160"/>
      <c r="F64" s="161"/>
      <c r="G64" s="161"/>
      <c r="H64" s="161"/>
      <c r="I64" s="161">
        <v>23</v>
      </c>
      <c r="J64" s="161">
        <f>($B$7/(60.96*PI()*$B$5))*(LN((2*$B$5/($I$64*$B$8))*(1+SQRT(1+POWER($I$64*$B$8/(2*$B$5),2))))+$I$64*$B$8/(2*$B$5)-SQRT(1+POWER($I$64*$B$8/(2*$B$5),2)))</f>
        <v>0.18156551084704395</v>
      </c>
      <c r="K64" s="161">
        <v>23</v>
      </c>
      <c r="L64" s="161">
        <f>(2/K64)*((K64-1)*$J$42+(K64-2)*$J$43+(K64-3)*$J$44+(K64-4)*$J$45+(K64-5)*$J$46+(K64-6)*$J$47+(K64-7)*$J$48+(K64-8)*$J$49+(K64-9)*$J$50+(K64-10)*$J$51+(K64-11)*$J$52+(K64-12)*$J$53+(K64-13)*$J$54+(K64-14)*$J$55+(K64-15)*$J$56+(K64-16)*$J$57+(K64-17)*$J$58+(K64-18)*$J$59+(K64-19)*$J$60+(K64-20)*$J$61+(K64-21)*$J$62+(K64-22)*$J$63)</f>
        <v>21.752734480563916</v>
      </c>
      <c r="M64" s="161"/>
      <c r="N64" s="161">
        <f>($B$7/(60.96*PI()*$B$5))*(LN(($B$5/($I$64*$B$8))*(1+SQRT(1+POWER($I$64*$B$8/$B$5,2))))+$I$64*$B$8/$B$5-SQRT(1+POWER($I$64*$B$8/$B$5,2)))</f>
        <v>0.09080375521362218</v>
      </c>
      <c r="O64" s="162"/>
    </row>
    <row r="65" spans="4:15" ht="12.75">
      <c r="D65" s="108"/>
      <c r="E65" s="160"/>
      <c r="F65" s="161"/>
      <c r="G65" s="161"/>
      <c r="H65" s="161"/>
      <c r="I65" s="161">
        <v>24</v>
      </c>
      <c r="J65" s="161">
        <f>($B$7/(60.96*PI()*$B$5))*(LN((2*$B$5/($I$65*$B$8))*(1+SQRT(1+POWER($I$65*$B$8/(2*$B$5),2))))+$I$65*$B$8/(2*$B$5)-SQRT(1+POWER($I$65*$B$8/(2*$B$5),2)))</f>
        <v>0.17400465698932782</v>
      </c>
      <c r="K65" s="161">
        <v>24</v>
      </c>
      <c r="L65" s="161">
        <f>(2/K65)*((K65-1)*$J$42+(K65-2)*$J$43+(K65-3)*$J$44+(K65-4)*$J$45+(K65-5)*$J$46+(K65-6)*$J$47+(K65-7)*$J$48+(K65-8)*$J$49+(K65-9)*$J$50+(K65-10)*$J$51+(K65-11)*$J$52+(K65-12)*$J$53+(K65-13)*$J$54+(K65-14)*$J$55+(K65-15)*$J$56+(K65-16)*$J$57+(K65-17)*$J$58+(K65-18)*$J$59+(K65-19)*$J$60+(K65-20)*$J$61+(K65-21)*$J$62+(K65-22)*$J$63+(K65-23)*$J$64)</f>
        <v>22.097798139529374</v>
      </c>
      <c r="M65" s="161"/>
      <c r="N65" s="161">
        <f>($B$7/(60.96*PI()*$B$5))*(LN(($B$5/($I$65*$B$8))*(1+SQRT(1+POWER($I$65*$B$8/$B$5,2))))+$I$65*$B$8/$B$5-SQRT(1+POWER($I$65*$B$8/$B$5,2)))</f>
        <v>0.08702081325718647</v>
      </c>
      <c r="O65" s="162"/>
    </row>
    <row r="66" spans="4:15" ht="12.75">
      <c r="D66" s="108"/>
      <c r="E66" s="160"/>
      <c r="F66" s="161"/>
      <c r="G66" s="161"/>
      <c r="H66" s="161"/>
      <c r="I66" s="161">
        <v>25</v>
      </c>
      <c r="J66" s="161">
        <f>($B$7/(60.96*PI()*$B$5))*(LN((2*$B$5/($I$66*$B$8))*(1+SQRT(1+POWER($I$66*$B$8/(2*$B$5),2))))+$I$66*$B$8/(2*$B$5)-SQRT(1+POWER($I$66*$B$8/(2*$B$5),2)))</f>
        <v>0.16704817813712575</v>
      </c>
      <c r="K66" s="161">
        <v>25</v>
      </c>
      <c r="L66" s="161">
        <f>(2/K66)*((K66-1)*$J$42+(K66-2)*$J$43+(K66-3)*$J$44+(K66-4)*$J$45+(K66-5)*$J$46+(K66-6)*$J$47+(K66-7)*$J$48+(K66-8)*$J$49+(K66-9)*$J$50+(K66-10)*$J$51+(K66-11)*$J$52+(K66-12)*$J$53+(K66-13)*$J$54+(K66-14)*$J$55+(K66-15)*$J$56+(K66-16)*$J$57+(K66-17)*$J$58+(K66-18)*$J$59+(K66-19)*$J$60+(K66-20)*$J$61+(K66-21)*$J$62+(K66-22)*$J$63+(K66-23)*$J$64+(K66-24)*$J$65)</f>
        <v>22.429177078336753</v>
      </c>
      <c r="M66" s="161"/>
      <c r="N66" s="161">
        <f>($B$7/(60.96*PI()*$B$5))*(LN(($B$5/($I$66*$B$8))*(1+SQRT(1+POWER($I$66*$B$8/$B$5,2))))+$I$66*$B$8/$B$5-SQRT(1+POWER($I$66*$B$8/$B$5,2)))</f>
        <v>0.08354044483662677</v>
      </c>
      <c r="O66" s="162"/>
    </row>
    <row r="67" spans="4:15" ht="12.75">
      <c r="D67" s="108"/>
      <c r="E67" s="160"/>
      <c r="F67" s="161"/>
      <c r="G67" s="161"/>
      <c r="H67" s="161"/>
      <c r="I67" s="161">
        <v>26</v>
      </c>
      <c r="J67" s="161">
        <f>($B$7/(60.96*PI()*$B$5))*(LN((2*$B$5/($I$67*$B$8))*(1+SQRT(1+POWER($I$67*$B$8/(2*$B$5),2))))+$I$67*$B$8/(2*$B$5)-SQRT(1+POWER($I$67*$B$8/(2*$B$5),2)))</f>
        <v>0.16062641015609655</v>
      </c>
      <c r="K67" s="161">
        <v>26</v>
      </c>
      <c r="L67" s="161">
        <f>(2/K67)*((K67-1)*$J$42+(K67-2)*$J$43+(K67-3)*$J$44+(K67-4)*$J$45+(K67-5)*$J$46+(K67-6)*$J$47+(K67-7)*$J$48+(K67-8)*$J$49+(K67-9)*$J$50+(K67-10)*$J$51+(K67-11)*$J$52+(K67-12)*$J$53+(K67-13)*$J$54+(K67-14)*$J$55+(K67-15)*$J$56+(K67-16)*$J$57+(K67-17)*$J$58+(K67-18)*$J$59+(K67-19)*$J$60+(K67-20)*$J$61+(K67-21)*$J$62+(K67-22)*$J$63+(K67-23)*$J$64+(K67-24)*$J$65+(K67-25)*$J$66)</f>
        <v>22.747915189400256</v>
      </c>
      <c r="M67" s="161"/>
      <c r="N67" s="161">
        <f>($B$7/(60.96*PI()*$B$5))*(LN(($B$5/($I$67*$B$8))*(1+SQRT(1+POWER($I$67*$B$8/$B$5,2))))+$I$67*$B$8/$B$5-SQRT(1+POWER($I$67*$B$8/$B$5,2)))</f>
        <v>0.08032774658418602</v>
      </c>
      <c r="O67" s="162"/>
    </row>
    <row r="68" spans="4:15" ht="12.75">
      <c r="D68" s="108"/>
      <c r="E68" s="160"/>
      <c r="F68" s="161"/>
      <c r="G68" s="161"/>
      <c r="H68" s="161"/>
      <c r="I68" s="161">
        <v>27</v>
      </c>
      <c r="J68" s="161">
        <f>($B$7/(60.96*PI()*$B$5))*(LN((2*$B$5/($I$68*$B$8))*(1+SQRT(1+POWER($I$68*$B$8/(2*$B$5),2))))+$I$68*$B$8/(2*$B$5)-SQRT(1+POWER($I$68*$B$8/(2*$B$5),2)))</f>
        <v>0.1546799970462284</v>
      </c>
      <c r="K68" s="161">
        <v>27</v>
      </c>
      <c r="L68" s="161">
        <f>(2/K68)*((K68-1)*$J$42+(K68-2)*$J$43+(K68-3)*$J$44+(K68-4)*$J$45+(K68-5)*$J$46+(K68-6)*$J$47+(K68-7)*$J$48+(K68-8)*$J$49+(K68-9)*$J$50+(K68-10)*$J$51+(K68-11)*$J$52+(K68-12)*$J$53+(K68-13)*$J$54+(K68-14)*$J$55+(K68-15)*$J$56+(K68-16)*$J$57+(K68-17)*$J$58+(K68-18)*$J$59+(K68-19)*$J$60+(K68-20)*$J$61+(K68-21)*$J$62+(K68-22)*$J$63+(K68-23)*$J$64+(K68-24)*$J$65+(K68-25)*$J$66+(K68-26)*$J$67)</f>
        <v>23.05494132261877</v>
      </c>
      <c r="M68" s="161"/>
      <c r="N68" s="161">
        <f>($B$7/(60.96*PI()*$B$5))*(LN(($B$5/($I$68*$B$8))*(1+SQRT(1+POWER($I$68*$B$8/$B$5,2))))+$I$68*$B$8/$B$5-SQRT(1+POWER($I$68*$B$8/$B$5,2)))</f>
        <v>0.07735298443398439</v>
      </c>
      <c r="O68" s="162"/>
    </row>
    <row r="69" spans="4:15" ht="12.75">
      <c r="D69" s="108"/>
      <c r="E69" s="160"/>
      <c r="F69" s="161"/>
      <c r="G69" s="161"/>
      <c r="H69" s="161"/>
      <c r="I69" s="161">
        <v>28</v>
      </c>
      <c r="J69" s="161">
        <f>($B$7/(60.96*PI()*$B$5))*(LN((2*$B$5/($I$69*$B$8))*(1+SQRT(1+POWER($I$69*$B$8/(2*$B$5),2))))+$I$69*$B$8/(2*$B$5)-SQRT(1+POWER($I$69*$B$8/(2*$B$5),2)))</f>
        <v>0.14915805272994773</v>
      </c>
      <c r="K69" s="161">
        <v>28</v>
      </c>
      <c r="L69" s="161">
        <f>(2/K69)*((K69-1)*$J$42+(K69-2)*$J$43+(K69-3)*$J$44+(K69-4)*$J$45+(K69-5)*$J$46+(K69-6)*$J$47+(K69-7)*$J$48+(K69-8)*$J$49+(K69-9)*$J$50+(K69-10)*$J$51+(K69-11)*$J$52+(K69-12)*$J$53+(K69-13)*$J$54+(K69-14)*$J$55+(K69-15)*$J$56+(K69-16)*$J$57+(K69-17)*$J$58+(K69-18)*$J$59+(K69-19)*$J$60+(K69-20)*$J$61+(K69-21)*$J$62+(K69-22)*$J$63+(K69-23)*$J$64+(K69-24)*$J$65+(K69-25)*$J$66+(K69-26)*$J$67+(K69-27)*$J$68)</f>
        <v>23.351085588967827</v>
      </c>
      <c r="M69" s="161"/>
      <c r="N69" s="161">
        <f>($B$7/(60.96*PI()*$B$5))*(LN(($B$5/($I$69*$B$8))*(1+SQRT(1+POWER($I$69*$B$8/$B$5,2))))+$I$69*$B$8/$B$5-SQRT(1+POWER($I$69*$B$8/$B$5,2)))</f>
        <v>0.07459067085010505</v>
      </c>
      <c r="O69" s="162"/>
    </row>
    <row r="70" spans="4:15" ht="12.75">
      <c r="D70" s="108"/>
      <c r="E70" s="160"/>
      <c r="F70" s="161"/>
      <c r="G70" s="161"/>
      <c r="H70" s="161"/>
      <c r="I70" s="161">
        <v>29</v>
      </c>
      <c r="J70" s="161">
        <f>($B$7/(60.96*PI()*$B$5))*(LN((2*$B$5/($I$70*$B$8))*(1+SQRT(1+POWER($I$70*$B$8/(2*$B$5),2))))+$I$70*$B$8/(2*$B$5)-SQRT(1+POWER($I$70*$B$8/(2*$B$5),2)))</f>
        <v>0.14401670258290075</v>
      </c>
      <c r="K70" s="161">
        <v>29</v>
      </c>
      <c r="L70" s="161">
        <f>(2/K70)*((K70-1)*$J$42+(K70-2)*$J$43+(K70-3)*$J$44+(K70-4)*$J$45+(K70-5)*$J$46+(K70-6)*$J$47+(K70-7)*$J$48+(K70-8)*$J$49+(K70-9)*$J$50+(K70-10)*$J$51+(K70-11)*$J$52+(K70-12)*$J$53+(K70-13)*$J$54+(K70-14)*$J$55+(K70-15)*$J$56+(K70-16)*$J$57+(K70-17)*$J$58+(K70-18)*$J$59+(K70-19)*$J$60+(K70-20)*$J$61+(K70-21)*$J$62+(K70-22)*$J$63+(K70-23)*$J$64+(K70-24)*$J$65+(K70-25)*$J$66+(K70-26)*$J$67+(K70-27)*$J$68+(K70-28)*$J$69)</f>
        <v>23.6370928750673</v>
      </c>
      <c r="M70" s="161"/>
      <c r="N70" s="161">
        <f>($B$7/(60.96*PI()*$B$5))*(LN(($B$5/($I$70*$B$8))*(1+SQRT(1+POWER($I$70*$B$8/$B$5,2))))+$I$70*$B$8/$B$5-SQRT(1+POWER($I$70*$B$8/$B$5,2)))</f>
        <v>0.07201883290027877</v>
      </c>
      <c r="O70" s="162"/>
    </row>
    <row r="71" spans="4:15" ht="12.75">
      <c r="D71" s="108"/>
      <c r="E71" s="160"/>
      <c r="F71" s="161"/>
      <c r="G71" s="161"/>
      <c r="H71" s="161"/>
      <c r="I71" s="161">
        <v>30</v>
      </c>
      <c r="J71" s="161">
        <f>($B$7/(60.96*PI()*$B$5))*(LN((2*$B$5/($I$71*$B$8))*(1+SQRT(1+POWER($I$71*$B$8/(2*$B$5),2))))+$I$71*$B$8/(2*$B$5)-SQRT(1+POWER($I$71*$B$8/(2*$B$5),2)))</f>
        <v>0.13921791624616325</v>
      </c>
      <c r="K71" s="161">
        <v>30</v>
      </c>
      <c r="L71" s="161">
        <f>(2/K71)*((K71-1)*$J$42+(K71-2)*$J$43+(K71-3)*$J$44+(K71-4)*$J$45+(K71-5)*$J$46+(K71-6)*$J$47+(K71-7)*$J$48+(K71-8)*$J$49+(K71-9)*$J$50+(K71-10)*$J$51+(K71-11)*$J$52+(K71-12)*$J$53+(K71-13)*$J$54+(K71-14)*$J$55+(K71-15)*$J$56+(K71-16)*$J$57+(K71-17)*$J$58+(K71-18)*$J$59+(K71-19)*$J$60+(K71-20)*$J$61+(K71-21)*$J$62+(K71-22)*$J$63+(K71-23)*$J$64+(K71-24)*$J$65+(K71-25)*$J$66+(K71-26)*$J$67+(K71-27)*$J$68+(K71-28)*$J$69+(K71-29)*$J$70)</f>
        <v>23.913634122265655</v>
      </c>
      <c r="M71" s="161"/>
      <c r="N71" s="161">
        <f>($B$7/(60.96*PI()*$B$5))*(LN(($B$5/($I$71*$B$8))*(1+SQRT(1+POWER($I$71*$B$8/$B$5,2))))+$I$71*$B$8/$B$5-SQRT(1+POWER($I$71*$B$8/$B$5,2)))</f>
        <v>0.06961842666327067</v>
      </c>
      <c r="O71" s="162"/>
    </row>
    <row r="72" spans="4:15" ht="12.75">
      <c r="D72" s="108"/>
      <c r="E72" s="160"/>
      <c r="F72" s="161"/>
      <c r="G72" s="161"/>
      <c r="H72" s="161"/>
      <c r="I72" s="161">
        <v>31</v>
      </c>
      <c r="J72" s="161">
        <f>($B$7/(60.96*PI()*$B$5))*(LN((2*$B$5/($I$72*$B$8))*(1+SQRT(1+POWER($I$72*$B$8/(2*$B$5),2))))+$I$72*$B$8/(2*$B$5)-SQRT(1+POWER($I$72*$B$8/(2*$B$5),2)))</f>
        <v>0.1347285660486579</v>
      </c>
      <c r="K72" s="161">
        <v>31</v>
      </c>
      <c r="L72" s="161">
        <f>(2/K72)*((K72-1)*$J$42+(K72-2)*$J$43+(K72-3)*$J$44+(K72-4)*$J$45+(K72-5)*$J$46+(K72-6)*$J$47+(K72-7)*$J$48+(K72-8)*$J$49+(K72-9)*$J$50+(K72-10)*$J$51+(K72-11)*$J$52+(K72-12)*$J$53+(K72-13)*$J$54+(K72-14)*$J$55+(K72-15)*$J$56+(K72-16)*$J$57+(K72-17)*$J$58+(K72-18)*$J$59+(K72-19)*$J$60+(K72-20)*$J$61+(K72-21)*$J$62+(K72-22)*$J$63+(K72-23)*$J$64+(K72-24)*$J$65+(K72-25)*$J$66+(K72-26)*$J$67+(K72-27)*$J$68+(K72-28)*$J$69+(K72-29)*$J$70+(K72-30)*$J$71)</f>
        <v>24.181315799725173</v>
      </c>
      <c r="M72" s="161"/>
      <c r="N72" s="161">
        <f>($B$7/(60.96*PI()*$B$5))*(LN(($B$5/($I$72*$B$8))*(1+SQRT(1+POWER($I$72*$B$8/$B$5,2))))+$I$72*$B$8/$B$5-SQRT(1+POWER($I$72*$B$8/$B$5,2)))</f>
        <v>0.0673728649390758</v>
      </c>
      <c r="O72" s="162"/>
    </row>
    <row r="73" spans="4:15" ht="12.75">
      <c r="D73" s="108"/>
      <c r="E73" s="160"/>
      <c r="F73" s="161"/>
      <c r="G73" s="161"/>
      <c r="H73" s="161"/>
      <c r="I73" s="161">
        <v>32</v>
      </c>
      <c r="J73" s="161">
        <f>($B$7/(60.96*PI()*$B$5))*(LN((2*$B$5/($I$73*$B$8))*(1+SQRT(1+POWER($I$73*$B$8/(2*$B$5),2))))+$I$73*$B$8/(2*$B$5)-SQRT(1+POWER($I$73*$B$8/(2*$B$5),2)))</f>
        <v>0.13051966175709542</v>
      </c>
      <c r="K73" s="161">
        <v>32</v>
      </c>
      <c r="L73" s="161">
        <f>(2/K73)*((K73-1)*$J$42+(K73-2)*$J$43+(K73-3)*$J$44+(K73-4)*$J$45+(K73-5)*$J$46+(K73-6)*$J$47+(K73-7)*$J$48+(K73-8)*$J$49+(K73-9)*$J$50+(K73-10)*$J$51+(K73-11)*$J$52+(K73-12)*$J$53+(K73-13)*$J$54+(K73-14)*$J$55+(K73-15)*$J$56+(K73-16)*$J$57+(K73-17)*$J$58+(K73-18)*$J$59+(K73-19)*$J$60+(K73-20)*$J$61+(K73-21)*$J$62+(K73-22)*$J$63+(K73-23)*$J$64+(K73-24)*$J$65+(K73-25)*$J$66+(K73-26)*$J$67+(K73-27)*$J$68+(K73-28)*$J$69+(K73-29)*$J$70+(K73-30)*$J$71+(K73-31)*$J$72)</f>
        <v>24.440687907721504</v>
      </c>
      <c r="M73" s="161"/>
      <c r="N73" s="161">
        <f>($B$7/(60.96*PI()*$B$5))*(LN(($B$5/($I$73*$B$8))*(1+SQRT(1+POWER($I$73*$B$8/$B$5,2))))+$I$73*$B$8/$B$5-SQRT(1+POWER($I$73*$B$8/$B$5,2)))</f>
        <v>0.06526763348595536</v>
      </c>
      <c r="O73" s="162"/>
    </row>
    <row r="74" spans="4:15" ht="12.75">
      <c r="D74" s="108"/>
      <c r="E74" s="160"/>
      <c r="F74" s="161"/>
      <c r="G74" s="161"/>
      <c r="H74" s="161"/>
      <c r="I74" s="161">
        <v>33</v>
      </c>
      <c r="J74" s="161">
        <f>($B$7/(60.96*PI()*$B$5))*(LN((2*$B$5/($I$74*$B$8))*(1+SQRT(1+POWER($I$74*$B$8/(2*$B$5),2))))+$I$74*$B$8/(2*$B$5)-SQRT(1+POWER($I$74*$B$8/(2*$B$5),2)))</f>
        <v>0.12656572430192184</v>
      </c>
      <c r="K74" s="161">
        <v>33</v>
      </c>
      <c r="L74" s="161">
        <f>(2/K74)*((K74-1)*$J$42+(K74-2)*$J$43+(K74-3)*$J$44+(K74-4)*$J$45+(K74-5)*$J$46+(K74-6)*$J$47+(K74-7)*$J$48+(K74-8)*$J$49+(K74-9)*$J$50+(K74-10)*$J$51+(K74-11)*$J$52+(K74-12)*$J$53+(K74-13)*$J$54+(K74-14)*$J$55+(K74-15)*$J$56+(K74-16)*$J$57+(K74-17)*$J$58+(K74-18)*$J$59+(K74-19)*$J$60+(K74-20)*$J$61+(K74-21)*$J$62+(K74-22)*$J$63+(K74-23)*$J$64+(K74-24)*$J$65+(K74-25)*$J$66+(K74-26)*$J$67+(K74-27)*$J$68+(K74-28)*$J$69+(K74-29)*$J$70+(K74-30)*$J$71+(K74-31)*$J$72+(K74-32)*$J$73)</f>
        <v>24.692250776551827</v>
      </c>
      <c r="M74" s="161"/>
      <c r="N74" s="161">
        <f>($B$7/(60.96*PI()*$B$5))*(LN(($B$5/($I$74*$B$8))*(1+SQRT(1+POWER($I$74*$B$8/$B$5,2))))+$I$74*$B$8/$B$5-SQRT(1+POWER($I$74*$B$8/$B$5,2)))</f>
        <v>0.06328997701256672</v>
      </c>
      <c r="O74" s="162"/>
    </row>
    <row r="75" spans="4:15" ht="12.75">
      <c r="D75" s="108"/>
      <c r="E75" s="160"/>
      <c r="F75" s="161"/>
      <c r="G75" s="161"/>
      <c r="H75" s="161"/>
      <c r="I75" s="161">
        <v>34</v>
      </c>
      <c r="J75" s="161">
        <f>($B$7/(60.96*PI()*$B$5))*(LN((2*$B$5/($I$75*$B$8))*(1+SQRT(1+POWER($I$75*$B$8/(2*$B$5),2))))+$I$75*$B$8/(2*$B$5)-SQRT(1+POWER($I$75*$B$8/(2*$B$5),2)))</f>
        <v>0.12284426990218805</v>
      </c>
      <c r="K75" s="161">
        <v>34</v>
      </c>
      <c r="L75" s="161">
        <f>(2/K75)*((K75-1)*$J$42+(K75-2)*$J$43+(K75-3)*$J$44+(K75-4)*$J$45+(K75-5)*$J$46+(K75-6)*$J$47+(K75-7)*$J$48+(K75-8)*$J$49+(K75-9)*$J$50+(K75-10)*$J$51+(K75-11)*$J$52+(K75-12)*$J$53+(K75-13)*$J$54+(K75-14)*$J$55+(K75-15)*$J$56+(K75-16)*$J$57+(K75-17)*$J$58+(K75-18)*$J$59+(K75-19)*$J$60+(K75-20)*$J$61+(K75-21)*$J$62+(K75-22)*$J$63+(K75-23)*$J$64+(K75-24)*$J$65+(K75-25)*$J$66+(K75-26)*$J$67+(K75-27)*$J$68+(K75-28)*$J$69+(K75-29)*$J$70+(K75-30)*$J$71+(K75-31)*$J$72+(K75-32)*$J$73+(K75-33)*$J$74)</f>
        <v>24.936460872174596</v>
      </c>
      <c r="M75" s="161"/>
      <c r="N75" s="161">
        <f>($B$7/(60.96*PI()*$B$5))*(LN(($B$5/($I$75*$B$8))*(1+SQRT(1+POWER($I$75*$B$8/$B$5,2))))+$I$75*$B$8/$B$5-SQRT(1+POWER($I$75*$B$8/$B$5,2)))</f>
        <v>0.061428640568218854</v>
      </c>
      <c r="O75" s="162"/>
    </row>
    <row r="76" spans="4:15" ht="12.75">
      <c r="D76" s="108"/>
      <c r="E76" s="160"/>
      <c r="F76" s="161"/>
      <c r="G76" s="161"/>
      <c r="H76" s="161"/>
      <c r="I76" s="161">
        <v>35</v>
      </c>
      <c r="J76" s="161">
        <f>($B$7/(60.96*PI()*$B$5))*(LN((2*$B$5/($I$76*$B$8))*(1+SQRT(1+POWER($I$76*$B$8/(2*$B$5),2))))+$I$76*$B$8/(2*$B$5)-SQRT(1+POWER($I$76*$B$8/(2*$B$5),2)))</f>
        <v>0.11933538253577913</v>
      </c>
      <c r="K76" s="161">
        <v>35</v>
      </c>
      <c r="L76" s="161">
        <f>(2/K76)*((K76-1)*$J$42+(K76-2)*$J$43+(K76-3)*$J$44+(K76-4)*$J$45+(K76-5)*$J$46+(K76-6)*$J$47+(K76-7)*$J$48+(K76-8)*$J$49+(K76-9)*$J$50+(K76-10)*$J$51+(K76-11)*$J$52+(K76-12)*$J$53+(K76-13)*$J$54+(K76-14)*$J$55+(K76-15)*$J$56+(K76-16)*$J$57+(K76-17)*$J$58+(K76-18)*$J$59+(K76-19)*$J$60+(K76-20)*$J$61+(K76-21)*$J$62+(K76-22)*$J$63+(K76-23)*$J$64+(K76-24)*$J$65+(K76-25)*$J$66+(K76-26)*$J$67+(K76-27)*$J$68+(K76-28)*$J$69+(K76-29)*$J$70+(K76-30)*$J$71+(K76-31)*$J$72+(K76-32)*$J$73+(K76-33)*$J$74+(K76-34)*$J$75)</f>
        <v>25.17373577775619</v>
      </c>
      <c r="M76" s="161"/>
      <c r="N76" s="161">
        <f>($B$7/(60.96*PI()*$B$5))*(LN(($B$5/($I$76*$B$8))*(1+SQRT(1+POWER($I$76*$B$8/$B$5,2))))+$I$76*$B$8/$B$5-SQRT(1+POWER($I$76*$B$8/$B$5,2)))</f>
        <v>0.05967365525446968</v>
      </c>
      <c r="O76" s="162"/>
    </row>
    <row r="77" spans="4:15" ht="12.75">
      <c r="D77" s="108"/>
      <c r="E77" s="160"/>
      <c r="F77" s="161"/>
      <c r="G77" s="161"/>
      <c r="H77" s="161"/>
      <c r="I77" s="161">
        <v>36</v>
      </c>
      <c r="J77" s="161">
        <f>($B$7/(60.96*PI()*$B$5))*(LN((2*$B$5/($I$77*$B$8))*(1+SQRT(1+POWER($I$77*$B$8/(2*$B$5),2))))+$I$77*$B$8/(2*$B$5)-SQRT(1+POWER($I$77*$B$8/(2*$B$5),2)))</f>
        <v>0.11602135759599885</v>
      </c>
      <c r="K77" s="161">
        <v>36</v>
      </c>
      <c r="L77" s="161">
        <f>(2/K77)*((K77-1)*$J$42+(K77-2)*$J$43+(K77-3)*$J$44+(K77-4)*$J$45+(K77-5)*$J$46+(K77-6)*$J$47+(K77-7)*$J$48+(K77-8)*$J$49+(K77-9)*$J$50+(K77-10)*$J$51+(K77-11)*$J$52+(K77-12)*$J$53+(K77-13)*$J$54+(K77-14)*$J$55+(K77-15)*$J$56+(K77-16)*$J$57+(K77-17)*$J$58+(K77-18)*$J$59+(K77-19)*$J$60+(K77-20)*$J$61+(K77-21)*$J$62+(K77-22)*$J$63+(K77-23)*$J$64+(K77-24)*$J$65+(K77-25)*$J$66+(K77-26)*$J$67+(K77-27)*$J$68+(K77-28)*$J$69+(K77-29)*$J$70+(K77-30)*$J$71+(K77-31)*$J$72+(K77-32)*$J$73+(K77-33)*$J$74+(K77-34)*$J$75+(K77-35)*$J$76)</f>
        <v>25.404458487613002</v>
      </c>
      <c r="M77" s="161"/>
      <c r="N77" s="161">
        <f>($B$7/(60.96*PI()*$B$5))*(LN(($B$5/($I$77*$B$8))*(1+SQRT(1+POWER($I$77*$B$8/$B$5,2))))+$I$77*$B$8/$B$5-SQRT(1+POWER($I$77*$B$8/$B$5,2)))</f>
        <v>0.05801615964340053</v>
      </c>
      <c r="O77" s="162"/>
    </row>
    <row r="78" spans="4:15" ht="12.75">
      <c r="D78" s="108"/>
      <c r="E78" s="160"/>
      <c r="F78" s="161"/>
      <c r="G78" s="161"/>
      <c r="H78" s="161"/>
      <c r="I78" s="161">
        <v>37</v>
      </c>
      <c r="J78" s="161">
        <f>($B$7/(60.96*PI()*$B$5))*(LN((2*$B$5/($I$78*$B$8))*(1+SQRT(1+POWER($I$78*$B$8/(2*$B$5),2))))+$I$78*$B$8/(2*$B$5)-SQRT(1+POWER($I$78*$B$8/(2*$B$5),2)))</f>
        <v>0.11288640328104524</v>
      </c>
      <c r="K78" s="161">
        <v>37</v>
      </c>
      <c r="L78" s="161">
        <f>(2/K78)*((K78-1)*$J$42+(K78-2)*$J$43+(K78-3)*$J$44+(K78-4)*$J$45+(K78-5)*$J$46+(K78-6)*$J$47+(K78-7)*$J$48+(K78-8)*$J$49+(K78-9)*$J$50+(K78-10)*$J$51+(K78-11)*$J$52+(K78-12)*$J$53+(K78-13)*$J$54+(K78-14)*$J$55+(K78-15)*$J$56+(K78-16)*$J$57+(K78-17)*$J$58+(K78-18)*$J$59+(K78-19)*$J$60+(K78-20)*$J$61+(K78-21)*$J$62+(K78-22)*$J$63+(K78-23)*$J$64+(K78-24)*$J$65+(K78-25)*$J$66+(K78-26)*$J$67+(K78-27)*$J$68+(K78-28)*$J$69+(K78-29)*$J$70+(K78-30)*$J$71+(K78-31)*$J$72+(K78-32)*$J$73+(K78-33)*$J$74+(K78-34)*$J$75+(K78-35)*$J$76+(K78-36)*$J$77)</f>
        <v>25.62898112437466</v>
      </c>
      <c r="M78" s="161"/>
      <c r="N78" s="161">
        <f>($B$7/(60.96*PI()*$B$5))*(LN(($B$5/($I$78*$B$8))*(1+SQRT(1+POWER($I$78*$B$8/$B$5,2))))+$I$78*$B$8/$B$5-SQRT(1+POWER($I$78*$B$8/$B$5,2)))</f>
        <v>0.0564482501479992</v>
      </c>
      <c r="O78" s="162"/>
    </row>
    <row r="79" spans="4:15" ht="12.75">
      <c r="D79" s="108"/>
      <c r="E79" s="160"/>
      <c r="F79" s="161"/>
      <c r="G79" s="161"/>
      <c r="H79" s="161"/>
      <c r="I79" s="161">
        <v>38</v>
      </c>
      <c r="J79" s="161">
        <f>($B$7/(60.96*PI()*$B$5))*(LN((2*$B$5/($I$79*$B$8))*(1+SQRT(1+POWER($I$79*$B$8/(2*$B$5),2))))+$I$79*$B$8/(2*$B$5)-SQRT(1+POWER($I$79*$B$8/(2*$B$5),2)))</f>
        <v>0.10991638909215073</v>
      </c>
      <c r="K79" s="161">
        <v>38</v>
      </c>
      <c r="L79" s="161">
        <f>(2/K79)*((K79-1)*$J$42+(K79-2)*$J$43+(K79-3)*$J$44+(K79-4)*$J$45+(K79-5)*$J$46+(K79-6)*$J$47+(K79-7)*$J$48+(K79-8)*$J$49+(K79-9)*$J$50+(K79-10)*$J$51+(K79-11)*$J$52+(K79-12)*$J$53+(K79-13)*$J$54+(K79-14)*$J$55+(K79-15)*$J$56+(K79-16)*$J$57+(K79-17)*$J$58+(K79-18)*$J$59+(K79-19)*$J$60+(K79-20)*$J$61+(K79-21)*$J$62+(K79-22)*$J$63+(K79-23)*$J$64+(K79-24)*$J$65+(K79-25)*$J$66+(K79-26)*$J$67+(K79-27)*$J$68+(K79-28)*$J$69+(K79-29)*$J$70+(K79-30)*$J$71+(K79-31)*$J$72+(K79-32)*$J$73+(K79-33)*$J$74+(K79-34)*$J$75+(K79-35)*$J$76+(K79-36)*$J$77+(K79-37)*$J$78)</f>
        <v>25.84762816990048</v>
      </c>
      <c r="M79" s="161"/>
      <c r="N79" s="161">
        <f>($B$7/(60.96*PI()*$B$5))*(LN(($B$5/($I$79*$B$8))*(1+SQRT(1+POWER($I$79*$B$8/$B$5,2))))+$I$79*$B$8/$B$5-SQRT(1+POWER($I$79*$B$8/$B$5,2)))</f>
        <v>0.054962855013605406</v>
      </c>
      <c r="O79" s="162"/>
    </row>
    <row r="80" spans="4:15" ht="12.75">
      <c r="D80" s="108"/>
      <c r="E80" s="160"/>
      <c r="F80" s="161"/>
      <c r="G80" s="161"/>
      <c r="H80" s="161"/>
      <c r="I80" s="161">
        <v>39</v>
      </c>
      <c r="J80" s="161">
        <f>($B$7/(60.96*PI()*$B$5))*(LN((2*$B$5/($I$80*$B$8))*(1+SQRT(1+POWER($I$80*$B$8/(2*$B$5),2))))+$I$80*$B$8/(2*$B$5)-SQRT(1+POWER($I$80*$B$8/(2*$B$5),2)))</f>
        <v>0.10709863299238405</v>
      </c>
      <c r="K80" s="161">
        <v>39</v>
      </c>
      <c r="L80" s="161">
        <f>(2/K80)*((K80-1)*$J$42+(K80-2)*$J$43+(K80-3)*$J$44+(K80-4)*$J$45+(K80-5)*$J$46+(K80-6)*$J$47+(K80-7)*$J$48+(K80-8)*$J$49+(K80-9)*$J$50+(K80-10)*$J$51+(K80-11)*$J$52+(K80-12)*$J$53+(K80-13)*$J$54+(K80-14)*$J$55+(K80-15)*$J$56+(K80-16)*$J$57+(K80-17)*$J$58+(K80-18)*$J$59+(K80-19)*$J$60+(K80-20)*$J$61+(K80-21)*$J$62+(K80-22)*$J$63+(K80-23)*$J$64+(K80-24)*$J$65+(K80-25)*$J$66+(K80-26)*$J$67+(K80-27)*$J$68+(K80-28)*$J$69+(K80-29)*$J$70+(K80-30)*$J$71+(K80-31)*$J$72+(K80-32)*$J$73+(K80-33)*$J$74+(K80-34)*$J$75+(K80-35)*$J$76+(K80-36)*$J$77+(K80-37)*$J$78+(K80-38)*$J$79)</f>
        <v>26.060699284327143</v>
      </c>
      <c r="M80" s="161"/>
      <c r="N80" s="161">
        <f>($B$7/(60.96*PI()*$B$5))*(LN(($B$5/($I$80*$B$8))*(1+SQRT(1+POWER($I$80*$B$8/$B$5,2))))+$I$80*$B$8/$B$5-SQRT(1+POWER($I$80*$B$8/$B$5,2)))</f>
        <v>0.053553627690930174</v>
      </c>
      <c r="O80" s="162"/>
    </row>
    <row r="81" spans="4:15" ht="12.75">
      <c r="D81" s="108"/>
      <c r="E81" s="160"/>
      <c r="F81" s="161"/>
      <c r="G81" s="161"/>
      <c r="H81" s="161"/>
      <c r="I81" s="161">
        <v>40</v>
      </c>
      <c r="J81" s="161">
        <f>($B$7/(60.96*PI()*$B$5))*(LN((2*$B$5/($I$81*$B$8))*(1+SQRT(1+POWER($I$81*$B$8/(2*$B$5),2))))+$I$81*$B$8/(2*$B$5)-SQRT(1+POWER($I$81*$B$8/(2*$B$5),2)))</f>
        <v>0.10442172046741065</v>
      </c>
      <c r="K81" s="161">
        <v>40</v>
      </c>
      <c r="L81" s="161">
        <f>(2/K81)*((K81-1)*$J$42+(K81-2)*$J$43+(K81-3)*$J$44+(K81-4)*$J$45+(K81-5)*$J$46+(K81-6)*$J$47+(K81-7)*$J$48+(K81-8)*$J$49+(K81-9)*$J$50+(K81-10)*$J$51+(K81-11)*$J$52+(K81-12)*$J$53+(K81-13)*$J$54+(K81-14)*$J$55+(K81-15)*$J$56+(K81-16)*$J$57+(K81-17)*$J$58+(K81-18)*$J$59+(K81-19)*$J$60+(K81-20)*$J$61+(K81-21)*$J$62+(K81-22)*$J$63+(K81-23)*$J$64+(K81-24)*$J$65+(K81-25)*$J$66+(K81-26)*$J$67+(K81-27)*$J$68+(K81-28)*$J$69+(K81-29)*$J$70+(K81-30)*$J$71+(K81-31)*$J$72+(K81-32)*$J$73+(K81-33)*$J$74+(K81-34)*$J$75+(K81-35)*$J$76+(K81-36)*$J$77+(K81-37)*$J$78+(K81-38)*$J$79+(K81-39)*$J$80)</f>
        <v>26.26847177468207</v>
      </c>
      <c r="M81" s="161"/>
      <c r="N81" s="161">
        <f>($B$7/(60.96*PI()*$B$5))*(LN(($B$5/($I$81*$B$8))*(1+SQRT(1+POWER($I$81*$B$8/$B$5,2))))+$I$81*$B$8/$B$5-SQRT(1+POWER($I$81*$B$8/$B$5,2)))</f>
        <v>0.052214856200219845</v>
      </c>
      <c r="O81" s="162"/>
    </row>
    <row r="82" spans="4:15" ht="12.75">
      <c r="D82" s="108"/>
      <c r="E82" s="160"/>
      <c r="F82" s="161"/>
      <c r="G82" s="161"/>
      <c r="H82" s="161"/>
      <c r="I82" s="161">
        <v>41</v>
      </c>
      <c r="J82" s="161">
        <f>($B$7/(60.96*PI()*$B$5))*(LN((2*$B$5/($I$82*$B$8))*(1+SQRT(1+POWER($I$82*$B$8/(2*$B$5),2))))+$I$82*$B$8/(2*$B$5)-SQRT(1+POWER($I$82*$B$8/(2*$B$5),2)))</f>
        <v>0.1018753500454152</v>
      </c>
      <c r="K82" s="161">
        <v>41</v>
      </c>
      <c r="L82" s="161">
        <f>(2/K82)*((K82-1)*$J$42+(K82-2)*$J$43+(K82-3)*$J$44+(K82-4)*$J$45+(K82-5)*$J$46+(K82-6)*$J$47+(K82-7)*$J$48+(K82-8)*$J$49+(K82-9)*$J$50+(K82-10)*$J$51+(K82-11)*$J$52+(K82-12)*$J$53+(K82-13)*$J$54+(K82-14)*$J$55+(K82-15)*$J$56+(K82-16)*$J$57+(K82-17)*$J$58+(K82-18)*$J$59+(K82-19)*$J$60+(K82-20)*$J$61+(K82-21)*$J$62+(K82-22)*$J$63+(K82-23)*$J$64+(K82-24)*$J$65+(K82-25)*$J$66+(K82-26)*$J$67+(K82-27)*$J$68+(K82-28)*$J$69+(K82-29)*$J$70+(K82-30)*$J$71+(K82-31)*$J$72+(K82-32)*$J$73+(K82-33)*$J$74+(K82-34)*$J$75+(K82-35)*$J$76+(K82-36)*$J$77+(K82-37)*$J$78+(K82-38)*$J$79+(K82-39)*$J$80+(K82-40)*$J$81)</f>
        <v>26.471202764066902</v>
      </c>
      <c r="M82" s="161"/>
      <c r="N82" s="161">
        <f>($B$7/(60.96*PI()*$B$5))*(LN(($B$5/($I$82*$B$8))*(1+SQRT(1+POWER($I$82*$B$8/$B$5,2))))+$I$82*$B$8/$B$5-SQRT(1+POWER($I$82*$B$8/$B$5,2)))</f>
        <v>0.05094138575692988</v>
      </c>
      <c r="O82" s="162"/>
    </row>
    <row r="83" spans="4:15" ht="12.75">
      <c r="D83" s="108"/>
      <c r="E83" s="160"/>
      <c r="F83" s="161"/>
      <c r="G83" s="161"/>
      <c r="H83" s="161"/>
      <c r="I83" s="161">
        <v>42</v>
      </c>
      <c r="J83" s="161">
        <f>($B$7/(60.96*PI()*$B$5))*(LN((2*$B$5/($I$83*$B$8))*(1+SQRT(1+POWER($I$83*$B$8/(2*$B$5),2))))+$I$83*$B$8/(2*$B$5)-SQRT(1+POWER($I$83*$B$8/(2*$B$5),2)))</f>
        <v>0.09945020087041756</v>
      </c>
      <c r="K83" s="161">
        <v>42</v>
      </c>
      <c r="L83" s="161">
        <f>(2/K83)*((K83-1)*$J$42+(K83-2)*$J$43+(K83-3)*$J$44+(K83-4)*$J$45+(K83-5)*$J$46+(K83-6)*$J$47+(K83-7)*$J$48+(K83-8)*$J$49+(K83-9)*$J$50+(K83-10)*$J$51+(K83-11)*$J$52+(K83-12)*$J$53+(K83-13)*$J$54+(K83-14)*$J$55+(K83-15)*$J$56+(K83-16)*$J$57+(K83-17)*$J$58+(K83-18)*$J$59+(K83-19)*$J$60+(K83-20)*$J$61+(K83-21)*$J$62+(K83-22)*$J$63+(K83-23)*$J$64+(K83-24)*$J$65+(K83-25)*$J$66+(K83-26)*$J$67+(K83-27)*$J$68+(K83-28)*$J$69+(K83-29)*$J$70+(K83-30)*$J$71+(K83-31)*$J$72+(K83-32)*$J$73+(K83-33)*$J$74+(K83-34)*$J$75+(K83-35)*$J$76+(K83-36)*$J$77+(K83-37)*$J$78+(K83-38)*$J$79+(K83-39)*$J$80+(K83-40)*$J$81+(K83-41)*$J$82)</f>
        <v>26.669131103959376</v>
      </c>
      <c r="M83" s="161"/>
      <c r="N83" s="161">
        <f>($B$7/(60.96*PI()*$B$5))*(LN(($B$5/($I$83*$B$8))*(1+SQRT(1+POWER($I$83*$B$8/$B$5,2))))+$I$83*$B$8/$B$5-SQRT(1+POWER($I$83*$B$8/$B$5,2)))</f>
        <v>0.0497285524486568</v>
      </c>
      <c r="O83" s="162"/>
    </row>
    <row r="84" spans="4:15" ht="12.75">
      <c r="D84" s="108"/>
      <c r="E84" s="160"/>
      <c r="F84" s="161"/>
      <c r="G84" s="161"/>
      <c r="H84" s="161"/>
      <c r="I84" s="161">
        <v>43</v>
      </c>
      <c r="J84" s="161">
        <f>($B$7/(60.96*PI()*$B$5))*(LN((2*$B$5/($I$84*$B$8))*(1+SQRT(1+POWER($I$84*$B$8/(2*$B$5),2))))+$I$84*$B$8/(2*$B$5)-SQRT(1+POWER($I$84*$B$8/(2*$B$5),2)))</f>
        <v>0.0971378187411924</v>
      </c>
      <c r="K84" s="161">
        <v>43</v>
      </c>
      <c r="L84" s="161">
        <f>(2/K84)*((K84-1)*$J$42+(K84-2)*$J$43+(K84-3)*$J$44+(K84-4)*$J$45+(K84-5)*$J$46+(K84-6)*$J$47+(K84-7)*$J$48+(K84-8)*$J$49+(K84-9)*$J$50+(K84-10)*$J$51+(K84-11)*$J$52+(K84-12)*$J$53+(K84-13)*$J$54+(K84-14)*$J$55+(K84-15)*$J$56+(K84-16)*$J$57+(K84-17)*$J$58+(K84-18)*$J$59+(K84-19)*$J$60+(K84-20)*$J$61+(K84-21)*$J$62+(K84-22)*$J$63+(K84-23)*$J$64+(K84-24)*$J$65+(K84-25)*$J$66+(K84-26)*$J$67+(K84-27)*$J$68+(K84-28)*$J$69+(K84-29)*$J$70+(K84-30)*$J$71+(K84-31)*$J$72+(K84-32)*$J$73+(K84-33)*$J$74+(K84-34)*$J$75+(K84-35)*$J$76+(K84-36)*$J$77+(K84-37)*$J$78+(K84-38)*$J$79+(K84-39)*$J$80+(K84-40)*$J$81+(K84-41)*$J$82+(K84-42)*$J$83)</f>
        <v>26.86247906529267</v>
      </c>
      <c r="M84" s="161"/>
      <c r="N84" s="161">
        <f>($B$7/(60.96*PI()*$B$5))*(LN(($B$5/($I$84*$B$8))*(1+SQRT(1+POWER($I$84*$B$8/$B$5,2))))+$I$84*$B$8/$B$5-SQRT(1+POWER($I$84*$B$8/$B$5,2)))</f>
        <v>0.04857212616497061</v>
      </c>
      <c r="O84" s="162"/>
    </row>
    <row r="85" spans="4:15" ht="12.75">
      <c r="D85" s="108"/>
      <c r="E85" s="160"/>
      <c r="F85" s="161"/>
      <c r="G85" s="161"/>
      <c r="H85" s="161"/>
      <c r="I85" s="161">
        <v>44</v>
      </c>
      <c r="J85" s="161">
        <f>($B$7/(60.96*PI()*$B$5))*(LN((2*$B$5/($I$85*$B$8))*(1+SQRT(1+POWER($I$85*$B$8/(2*$B$5),2))))+$I$85*$B$8/(2*$B$5)-SQRT(1+POWER($I$85*$B$8/(2*$B$5),2)))</f>
        <v>0.09493051768074089</v>
      </c>
      <c r="K85" s="161">
        <v>44</v>
      </c>
      <c r="L85" s="161">
        <f>(2/K85)*((K85-1)*$J$42+(K85-2)*$J$43+(K85-3)*$J$44+(K85-4)*$J$45+(K85-5)*$J$46+(K85-6)*$J$47+(K85-7)*$J$48+(K85-8)*$J$49+(K85-9)*$J$50+(K85-10)*$J$51+(K85-11)*$J$52+(K85-12)*$J$53+(K85-13)*$J$54+(K85-14)*$J$55+(K85-15)*$J$56+(K85-16)*$J$57+(K85-17)*$J$58+(K85-18)*$J$59+(K85-19)*$J$60+(K85-20)*$J$61+(K85-21)*$J$62+(K85-22)*$J$63+(K85-23)*$J$64+(K85-24)*$J$65+(K85-25)*$J$66+(K85-26)*$J$67+(K85-27)*$J$68+(K85-28)*$J$69+(K85-29)*$J$70+(K85-30)*$J$71+(K85-31)*$J$72+(K85-32)*$J$73+(K85-33)*$J$74+(K85-34)*$J$75+(K85-35)*$J$76+(K85-36)*$J$77+(K85-37)*$J$78+(K85-38)*$J$79+(K85-39)*$J$80+(K85-40)*$J$81+(K85-41)*$J$82+(K85-42)*$J$83+(K85-43)*$J$84)</f>
        <v>27.051453838326335</v>
      </c>
      <c r="M85" s="161"/>
      <c r="N85" s="161">
        <f>($B$7/(60.96*PI()*$B$5))*(LN(($B$5/($I$85*$B$8))*(1+SQRT(1+POWER($I$85*$B$8/$B$5,2))))+$I$85*$B$8/$B$5-SQRT(1+POWER($I$85*$B$8/$B$5,2)))</f>
        <v>0.047468261308370945</v>
      </c>
      <c r="O85" s="162"/>
    </row>
    <row r="86" spans="4:15" ht="12.75">
      <c r="D86" s="108"/>
      <c r="E86" s="160"/>
      <c r="F86" s="161"/>
      <c r="G86" s="161"/>
      <c r="H86" s="161"/>
      <c r="I86" s="161">
        <v>45</v>
      </c>
      <c r="J86" s="161">
        <f>($B$7/(60.96*PI()*$B$5))*(LN((2*$B$5/($I$86*$B$8))*(1+SQRT(1+POWER($I$86*$B$8/(2*$B$5),2))))+$I$86*$B$8/(2*$B$5)-SQRT(1+POWER($I$86*$B$8/(2*$B$5),2)))</f>
        <v>0.09282129462176925</v>
      </c>
      <c r="K86" s="161">
        <v>45</v>
      </c>
      <c r="L86" s="161">
        <f>(2/K86)*((K86-1)*$J$42+(K86-2)*$J$43+(K86-3)*$J$44+(K86-4)*$J$45+(K86-5)*$J$46+(K86-6)*$J$47+(K86-7)*$J$48+(K86-8)*$J$49+(K86-9)*$J$50+(K86-10)*$J$51+(K86-11)*$J$52+(K86-12)*$J$53+(K86-13)*$J$54+(K86-14)*$J$55+(K86-15)*$J$56+(K86-16)*$J$57+(K86-17)*$J$58+(K86-18)*$J$59+(K86-19)*$J$60+(K86-20)*$J$61+(K86-21)*$J$62+(K86-22)*$J$63+(K86-23)*$J$64+(K86-24)*$J$65+(K86-25)*$J$66+(K86-26)*$J$67+(K86-27)*$J$68+(K86-28)*$J$69+(K86-29)*$J$70+(K86-30)*$J$71+(K86-31)*$J$72+(K86-32)*$J$73+(K86-33)*$J$74+(K86-34)*$J$75+(K86-35)*$J$76+(K86-36)*$J$77+(K86-37)*$J$78+(K86-38)*$J$79+(K86-39)*$J$80+(K86-40)*$J$81+(K86-41)*$J$82+(K86-42)*$J$83+(K86-43)*$J$84+(K86-44)*$J$85)</f>
        <v>27.236248866677666</v>
      </c>
      <c r="M86" s="161"/>
      <c r="N86" s="161">
        <f>($B$7/(60.96*PI()*$B$5))*(LN(($B$5/($I$86*$B$8))*(1+SQRT(1+POWER($I$86*$B$8/$B$5,2))))+$I$86*$B$8/$B$5-SQRT(1+POWER($I$86*$B$8/$B$5,2)))</f>
        <v>0.0464134540763384</v>
      </c>
      <c r="O86" s="162"/>
    </row>
    <row r="87" spans="4:15" ht="12.75">
      <c r="D87" s="108"/>
      <c r="E87" s="160"/>
      <c r="F87" s="161"/>
      <c r="G87" s="161"/>
      <c r="H87" s="161"/>
      <c r="I87" s="161">
        <v>46</v>
      </c>
      <c r="J87" s="161">
        <f>($B$7/(60.96*PI()*$B$5))*(LN((2*$B$5/($I$87*$B$8))*(1+SQRT(1+POWER($I$87*$B$8/(2*$B$5),2))))+$I$87*$B$8/(2*$B$5)-SQRT(1+POWER($I$87*$B$8/(2*$B$5),2)))</f>
        <v>0.09080375521362218</v>
      </c>
      <c r="K87" s="161">
        <v>46</v>
      </c>
      <c r="L87" s="161">
        <f>(2/K87)*((K87-1)*$J$42+(K87-2)*$J$43+(K87-3)*$J$44+(K87-4)*$J$45+(K87-5)*$J$46+(K87-6)*$J$47+(K87-7)*$J$48+(K87-8)*$J$49+(K87-9)*$J$50+(K87-10)*$J$51+(K87-11)*$J$52+(K87-12)*$J$53+(K87-13)*$J$54+(K87-14)*$J$55+(K87-15)*$J$56+(K87-16)*$J$57+(K87-17)*$J$58+(K87-18)*$J$59+(K87-19)*$J$60+(K87-20)*$J$61+(K87-21)*$J$62+(K87-22)*$J$63+(K87-23)*$J$64+(K87-24)*$J$65+(K87-25)*$J$66+(K87-26)*$J$67+(K87-27)*$J$68+(K87-28)*$J$69+(K87-29)*$J$70+(K87-30)*$J$71+(K87-31)*$J$72+(K87-32)*$J$73+(K87-33)*$J$74+(K87-34)*$J$75+(K87-35)*$J$76+(K87-36)*$J$77+(K87-37)*$J$78+(K87-38)*$J$79+(K87-39)*$J$80+(K87-40)*$J$81+(K87-41)*$J$82+(K87-42)*$J$83+(K87-43)*$J$84+(K87-44)*$J$85+(K87-45)*$J$86)</f>
        <v>27.417045037040708</v>
      </c>
      <c r="M87" s="161"/>
      <c r="N87" s="161">
        <f>($B$7/(60.96*PI()*$B$5))*(LN(($B$5/($I$87*$B$8))*(1+SQRT(1+POWER($I$87*$B$8/$B$5,2))))+$I$87*$B$8/$B$5-SQRT(1+POWER($I$87*$B$8/$B$5,2)))</f>
        <v>0.04540450531387629</v>
      </c>
      <c r="O87" s="162"/>
    </row>
    <row r="88" spans="4:15" ht="12.75">
      <c r="D88" s="108"/>
      <c r="E88" s="160"/>
      <c r="F88" s="161"/>
      <c r="G88" s="161"/>
      <c r="H88" s="161"/>
      <c r="I88" s="161">
        <v>47</v>
      </c>
      <c r="J88" s="161">
        <f>($B$7/(60.96*PI()*$B$5))*(LN((2*$B$5/($I$88*$B$8))*(1+SQRT(1+POWER($I$88*$B$8/(2*$B$5),2))))+$I$88*$B$8/(2*$B$5)-SQRT(1+POWER($I$88*$B$8/(2*$B$5),2)))</f>
        <v>0.08887204909573851</v>
      </c>
      <c r="K88" s="161">
        <v>47</v>
      </c>
      <c r="L88" s="161">
        <f>(2/K88)*((K88-1)*$J$42+(K88-2)*$J$43+(K88-3)*$J$44+(K88-4)*$J$45+(K88-5)*$J$46+(K88-6)*$J$47+(K88-7)*$J$48+(K88-8)*$J$49+(K88-9)*$J$50+(K88-10)*$J$51+(K88-11)*$J$52+(K88-12)*$J$53+(K88-13)*$J$54+(K88-14)*$J$55+(K88-15)*$J$56+(K88-16)*$J$57+(K88-17)*$J$58+(K88-18)*$J$59+(K88-19)*$J$60+(K88-20)*$J$61+(K88-21)*$J$62+(K88-22)*$J$63+(K88-23)*$J$64+(K88-24)*$J$65+(K88-25)*$J$66+(K88-26)*$J$67+(K88-27)*$J$68+(K88-28)*$J$69+(K88-29)*$J$70+(K88-30)*$J$71+(K88-31)*$J$72+(K88-32)*$J$73+(K88-33)*$J$74+(K88-34)*$J$75+(K88-35)*$J$76+(K88-36)*$J$77+(K88-37)*$J$78+(K88-38)*$J$79+(K88-39)*$J$80+(K88-40)*$J$81+(K88-41)*$J$82+(K88-42)*$J$83+(K88-43)*$J$84+(K88-44)*$J$85+(K88-45)*$J$86+(K88-46)*$J$87)</f>
        <v>27.594011742929354</v>
      </c>
      <c r="M88" s="161"/>
      <c r="N88" s="161">
        <f>($B$7/(60.96*PI()*$B$5))*(LN(($B$5/($I$88*$B$8))*(1+SQRT(1+POWER($I$88*$B$8/$B$5,2))))+$I$88*$B$8/$B$5-SQRT(1+POWER($I$88*$B$8/$B$5,2)))</f>
        <v>0.04443848810821801</v>
      </c>
      <c r="O88" s="162"/>
    </row>
    <row r="89" spans="4:15" ht="12.75">
      <c r="D89" s="108"/>
      <c r="E89" s="160"/>
      <c r="F89" s="161"/>
      <c r="G89" s="161"/>
      <c r="H89" s="161"/>
      <c r="I89" s="161">
        <v>48</v>
      </c>
      <c r="J89" s="161">
        <f>($B$7/(60.96*PI()*$B$5))*(LN((2*$B$5/($I$89*$B$8))*(1+SQRT(1+POWER($I$89*$B$8/(2*$B$5),2))))+$I$89*$B$8/(2*$B$5)-SQRT(1+POWER($I$89*$B$8/(2*$B$5),2)))</f>
        <v>0.08702081325718647</v>
      </c>
      <c r="K89" s="161">
        <v>48</v>
      </c>
      <c r="L89" s="161">
        <f>(2/K89)*((K89-1)*$J$42+(K89-2)*$J$43+(K89-3)*$J$44+(K89-4)*$J$45+(K89-5)*$J$46+(K89-6)*$J$47+(K89-7)*$J$48+(K89-8)*$J$49+(K89-9)*$J$50+(K89-10)*$J$51+(K89-11)*$J$52+(K89-12)*$J$53+(K89-13)*$J$54+(K89-14)*$J$55+(K89-15)*$J$56+(K89-16)*$J$57+(K89-17)*$J$58+(K89-18)*$J$59+(K89-19)*$J$60+(K89-20)*$J$61+(K89-21)*$J$62+(K89-22)*$J$63+(K89-23)*$J$64+(K89-24)*$J$65+(K89-25)*$J$66+(K89-26)*$J$67+(K89-27)*$J$68+(K89-28)*$J$69+(K89-29)*$J$70+(K89-30)*$J$71+(K89-31)*$J$72+(K89-32)*$J$73+(K89-33)*$J$74+(K89-34)*$J$75+(K89-35)*$J$76+(K89-36)*$J$77+(K89-37)*$J$78+(K89-38)*$J$79+(K89-39)*$J$80+(K89-40)*$J$81+(K89-41)*$J$82+(K89-42)*$J$83+(K89-43)*$J$84+(K89-44)*$J$85+(K89-45)*$J$86+(K89-46)*$J$87+(K89-47)*$J$88)</f>
        <v>27.76730783811829</v>
      </c>
      <c r="M89" s="161"/>
      <c r="N89" s="161">
        <f>($B$7/(60.96*PI()*$B$5))*(LN(($B$5/($I$89*$B$8))*(1+SQRT(1+POWER($I$89*$B$8/$B$5,2))))+$I$89*$B$8/$B$5-SQRT(1+POWER($I$89*$B$8/$B$5,2)))</f>
        <v>0.043512719433612936</v>
      </c>
      <c r="O89" s="162"/>
    </row>
    <row r="90" spans="4:15" ht="12.75">
      <c r="D90" s="108"/>
      <c r="E90" s="160"/>
      <c r="F90" s="161"/>
      <c r="G90" s="161"/>
      <c r="H90" s="161"/>
      <c r="I90" s="161">
        <v>49</v>
      </c>
      <c r="J90" s="161">
        <f>($B$7/(60.96*PI()*$B$5))*(LN((2*$B$5/($I$90*$B$8))*(1+SQRT(1+POWER($I$90*$B$8/(2*$B$5),2))))+$I$90*$B$8/(2*$B$5)-SQRT(1+POWER($I$90*$B$8/(2*$B$5),2)))</f>
        <v>0.08524512232872951</v>
      </c>
      <c r="K90" s="161">
        <v>49</v>
      </c>
      <c r="L90" s="161">
        <f>(2/K90)*((K90-1)*$J$42+(K90-2)*$J$43+(K90-3)*$J$44+(K90-4)*$J$45+(K90-5)*$J$46+(K90-6)*$J$47+(K90-7)*$J$48+(K90-8)*$J$49+(K90-9)*$J$50+(K90-10)*$J$51+(K90-11)*$J$52+(K90-12)*$J$53+(K90-13)*$J$54+(K90-14)*$J$55+(K90-15)*$J$56+(K90-16)*$J$57+(K90-17)*$J$58+(K90-18)*$J$59+(K90-19)*$J$60+(K90-20)*$J$61+(K90-21)*$J$62+(K90-22)*$J$63+(K90-23)*$J$64+(K90-24)*$J$65+(K90-25)*$J$66+(K90-26)*$J$67+(K90-27)*$J$68+(K90-28)*$J$69+(K90-29)*$J$70+(K90-30)*$J$71+(K90-31)*$J$72+(K90-32)*$J$73+(K90-33)*$J$74+(K90-34)*$J$75+(K90-35)*$J$76+(K90-36)*$J$77+(K90-37)*$J$78+(K90-38)*$J$79+(K90-39)*$J$80+(K90-40)*$J$81+(K90-41)*$J$82+(K90-42)*$J$83+(K90-43)*$J$84+(K90-44)*$J$85+(K90-45)*$J$86+(K90-46)*$J$87+(K90-47)*$J$88+(K90-48)*$J$89)</f>
        <v>27.937082493228335</v>
      </c>
      <c r="M90" s="161"/>
      <c r="N90" s="161">
        <f>($B$7/(60.96*PI()*$B$5))*(LN(($B$5/($I$90*$B$8))*(1+SQRT(1+POWER($I$90*$B$8/$B$5,2))))+$I$90*$B$8/$B$5-SQRT(1+POWER($I$90*$B$8/$B$5,2)))</f>
        <v>0.04262473526723266</v>
      </c>
      <c r="O90" s="162"/>
    </row>
    <row r="91" spans="4:15" ht="13.5" thickBot="1">
      <c r="D91" s="108"/>
      <c r="E91" s="166"/>
      <c r="F91" s="167"/>
      <c r="G91" s="167"/>
      <c r="H91" s="167"/>
      <c r="I91" s="167">
        <v>50</v>
      </c>
      <c r="J91" s="167">
        <f>($B$7/(60.96*PI()*$B$5))*(LN((2*$B$5/($I$91*$B$8))*(1+SQRT(1+POWER($I$91*$B$8/(2*$B$5),2))))+$I$91*$B$8/(2*$B$5)-SQRT(1+POWER($I$91*$B$8/(2*$B$5),2)))</f>
        <v>0.08354044483662677</v>
      </c>
      <c r="K91" s="167">
        <v>50</v>
      </c>
      <c r="L91" s="167">
        <f>(2/K91)*((K91-1)*$J$42+(K91-2)*$J$43+(K91-3)*$J$44+(K91-4)*$J$45+(K91-5)*$J$46+(K91-6)*$J$47+(K91-7)*$J$48+(K91-8)*$J$49+(K91-9)*$J$50+(K91-10)*$J$51+(K91-11)*$J$52+(K91-12)*$J$53+(K91-13)*$J$54+(K91-14)*$J$55+(K91-15)*$J$56+(K91-16)*$J$57+(K91-17)*$J$58+(K91-18)*$J$59+(K91-19)*$J$60+(K91-20)*$J$61+(K91-21)*$J$62+(K91-22)*$J$63+(K91-23)*$J$64+(K91-24)*$J$65+(K91-25)*$J$66+(K91-26)*$J$67+(K91-27)*$J$68+(K91-28)*$J$69+(K91-29)*$J$70+(K91-30)*$J$71+(K91-31)*$J$72+(K91-32)*$J$73+(K91-33)*$J$74+(K91-34)*$J$75+(K91-35)*$J$76+(K91-36)*$J$77+(K91-37)*$J$78+(K91-38)*$J$79+(K91-39)*$J$80+(K91-40)*$J$81+(K91-41)*$J$82+(K91-42)*$J$83+(K91-43)*$J$84+(K91-44)*$J$85+(K91-45)*$J$86+(K91-46)*$J$87+(K91-47)*$J$88+(K91-48)*$J$89+(K91-49)*$J$90)</f>
        <v>28.103475967027173</v>
      </c>
      <c r="M91" s="167"/>
      <c r="N91" s="167">
        <f>($B$7/(60.96*PI()*$B$5))*(LN(($B$5/($I$91*$B$8))*(1+SQRT(1+POWER($I$91*$B$8/$B$5,2))))+$I$91*$B$8/$B$5-SQRT(1+POWER($I$91*$B$8/$B$5,2)))</f>
        <v>0.0417722686912872</v>
      </c>
      <c r="O91" s="168"/>
    </row>
    <row r="92" ht="13.5" thickTop="1"/>
  </sheetData>
  <sheetProtection password="C497" sheet="1" objects="1" scenarios="1"/>
  <mergeCells count="1">
    <mergeCell ref="B41:C41"/>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I62"/>
  <sheetViews>
    <sheetView workbookViewId="0" topLeftCell="A1">
      <selection activeCell="A41" sqref="A41"/>
    </sheetView>
  </sheetViews>
  <sheetFormatPr defaultColWidth="9.140625" defaultRowHeight="12.75"/>
  <cols>
    <col min="1" max="1" width="37.140625" style="0" customWidth="1"/>
    <col min="3" max="3" width="10.28125" style="0" customWidth="1"/>
    <col min="8" max="8" width="16.00390625" style="0" customWidth="1"/>
    <col min="9" max="9" width="2.7109375" style="0" customWidth="1"/>
  </cols>
  <sheetData>
    <row r="1" spans="1:9" ht="14.25" thickBot="1" thickTop="1">
      <c r="A1" s="17"/>
      <c r="B1" s="19" t="s">
        <v>31</v>
      </c>
      <c r="C1" s="18"/>
      <c r="D1" s="18"/>
      <c r="E1" s="18"/>
      <c r="F1" s="18"/>
      <c r="G1" s="18"/>
      <c r="H1" s="18"/>
      <c r="I1" s="55"/>
    </row>
    <row r="2" spans="1:9" ht="14.25" thickBot="1" thickTop="1">
      <c r="A2" s="25" t="s">
        <v>208</v>
      </c>
      <c r="B2" s="20"/>
      <c r="C2" s="34"/>
      <c r="D2" s="20"/>
      <c r="E2" s="20"/>
      <c r="F2" s="20"/>
      <c r="G2" s="20"/>
      <c r="H2" s="36"/>
      <c r="I2" s="53"/>
    </row>
    <row r="3" spans="1:9" ht="13.5" thickBot="1">
      <c r="A3" s="32" t="s">
        <v>32</v>
      </c>
      <c r="B3" s="33"/>
      <c r="C3" s="11"/>
      <c r="E3" s="2" t="s">
        <v>70</v>
      </c>
      <c r="I3" s="53"/>
    </row>
    <row r="4" spans="1:9" ht="12.75">
      <c r="A4" s="21" t="s">
        <v>87</v>
      </c>
      <c r="B4" s="79">
        <v>12</v>
      </c>
      <c r="C4" s="23" t="s">
        <v>21</v>
      </c>
      <c r="E4" s="39" t="s">
        <v>113</v>
      </c>
      <c r="I4" s="53"/>
    </row>
    <row r="5" spans="1:9" ht="12.75">
      <c r="A5" s="21" t="s">
        <v>42</v>
      </c>
      <c r="B5" s="79">
        <v>12</v>
      </c>
      <c r="C5" s="23" t="s">
        <v>21</v>
      </c>
      <c r="E5" s="39" t="s">
        <v>110</v>
      </c>
      <c r="I5" s="53"/>
    </row>
    <row r="6" spans="1:9" ht="12.75">
      <c r="A6" s="21" t="s">
        <v>88</v>
      </c>
      <c r="B6" s="79">
        <v>15</v>
      </c>
      <c r="C6" s="23" t="s">
        <v>22</v>
      </c>
      <c r="E6" s="39" t="s">
        <v>71</v>
      </c>
      <c r="I6" s="53"/>
    </row>
    <row r="7" spans="1:9" ht="12.75">
      <c r="A7" s="21" t="s">
        <v>85</v>
      </c>
      <c r="B7" s="79">
        <v>3</v>
      </c>
      <c r="C7" s="23" t="s">
        <v>22</v>
      </c>
      <c r="E7" s="39" t="s">
        <v>72</v>
      </c>
      <c r="I7" s="53"/>
    </row>
    <row r="8" spans="1:9" ht="12.75">
      <c r="A8" s="21" t="s">
        <v>43</v>
      </c>
      <c r="B8" s="79">
        <v>5000</v>
      </c>
      <c r="C8" s="23" t="s">
        <v>44</v>
      </c>
      <c r="E8" s="39" t="s">
        <v>111</v>
      </c>
      <c r="I8" s="53"/>
    </row>
    <row r="9" spans="1:9" ht="12.75">
      <c r="A9" s="21" t="s">
        <v>86</v>
      </c>
      <c r="B9" s="79">
        <v>20</v>
      </c>
      <c r="C9" s="23"/>
      <c r="E9" s="39" t="s">
        <v>73</v>
      </c>
      <c r="I9" s="53"/>
    </row>
    <row r="10" spans="1:9" ht="12.75">
      <c r="A10" s="21" t="s">
        <v>93</v>
      </c>
      <c r="B10" s="79">
        <v>25</v>
      </c>
      <c r="C10" s="23" t="s">
        <v>22</v>
      </c>
      <c r="E10" s="39" t="s">
        <v>74</v>
      </c>
      <c r="I10" s="53"/>
    </row>
    <row r="11" spans="1:9" ht="12.75">
      <c r="A11" s="21" t="s">
        <v>37</v>
      </c>
      <c r="B11" s="79">
        <v>250</v>
      </c>
      <c r="C11" s="23" t="s">
        <v>22</v>
      </c>
      <c r="E11" s="39" t="s">
        <v>75</v>
      </c>
      <c r="I11" s="53"/>
    </row>
    <row r="12" spans="1:9" ht="13.5" thickBot="1">
      <c r="A12" s="22" t="s">
        <v>38</v>
      </c>
      <c r="B12" s="80" t="s">
        <v>47</v>
      </c>
      <c r="C12" s="24" t="s">
        <v>40</v>
      </c>
      <c r="E12" s="40" t="s">
        <v>108</v>
      </c>
      <c r="I12" s="53"/>
    </row>
    <row r="13" spans="1:9" ht="13.5" thickBot="1">
      <c r="A13" s="46" t="s">
        <v>91</v>
      </c>
      <c r="B13" s="88">
        <f>ROUND(F55*(1/TANH(F54*B9))+F53*B11/B10,2)</f>
        <v>0.64</v>
      </c>
      <c r="C13" s="47" t="s">
        <v>39</v>
      </c>
      <c r="E13" s="39" t="s">
        <v>112</v>
      </c>
      <c r="I13" s="53"/>
    </row>
    <row r="14" spans="1:9" ht="13.5" thickBot="1">
      <c r="A14" s="46" t="s">
        <v>45</v>
      </c>
      <c r="B14" s="87">
        <f>ROUND(F57/F59,2)</f>
        <v>1.04</v>
      </c>
      <c r="E14" s="39" t="s">
        <v>76</v>
      </c>
      <c r="I14" s="53"/>
    </row>
    <row r="15" spans="1:9" ht="13.5" thickBot="1">
      <c r="A15" s="41"/>
      <c r="B15" s="42"/>
      <c r="I15" s="53"/>
    </row>
    <row r="16" spans="1:9" ht="13.5" thickBot="1">
      <c r="A16" s="25" t="s">
        <v>209</v>
      </c>
      <c r="B16" s="20"/>
      <c r="C16" s="20"/>
      <c r="D16" s="20"/>
      <c r="E16" s="20"/>
      <c r="F16" s="20"/>
      <c r="G16" s="20"/>
      <c r="H16" s="20"/>
      <c r="I16" s="53"/>
    </row>
    <row r="17" spans="1:9" ht="13.5" thickBot="1">
      <c r="A17" s="32" t="s">
        <v>32</v>
      </c>
      <c r="B17" s="33"/>
      <c r="C17" s="11"/>
      <c r="E17" s="2" t="s">
        <v>70</v>
      </c>
      <c r="I17" s="53"/>
    </row>
    <row r="18" spans="1:9" ht="12.75">
      <c r="A18" s="21" t="s">
        <v>41</v>
      </c>
      <c r="B18" s="79">
        <v>12</v>
      </c>
      <c r="C18" s="23" t="s">
        <v>21</v>
      </c>
      <c r="E18" s="39" t="s">
        <v>113</v>
      </c>
      <c r="I18" s="53"/>
    </row>
    <row r="19" spans="1:9" ht="12.75">
      <c r="A19" s="21" t="s">
        <v>42</v>
      </c>
      <c r="B19" s="79">
        <v>12</v>
      </c>
      <c r="C19" s="23" t="s">
        <v>21</v>
      </c>
      <c r="E19" s="39" t="s">
        <v>114</v>
      </c>
      <c r="I19" s="53"/>
    </row>
    <row r="20" spans="1:9" ht="12.75">
      <c r="A20" s="21" t="s">
        <v>34</v>
      </c>
      <c r="B20" s="79">
        <v>100</v>
      </c>
      <c r="C20" s="23" t="s">
        <v>22</v>
      </c>
      <c r="E20" s="39" t="s">
        <v>109</v>
      </c>
      <c r="I20" s="53"/>
    </row>
    <row r="21" spans="1:9" ht="12.75">
      <c r="A21" s="21" t="s">
        <v>81</v>
      </c>
      <c r="B21" s="79">
        <v>3</v>
      </c>
      <c r="C21" s="23" t="s">
        <v>22</v>
      </c>
      <c r="E21" s="39" t="s">
        <v>77</v>
      </c>
      <c r="I21" s="53"/>
    </row>
    <row r="22" spans="1:9" ht="12.75">
      <c r="A22" s="21" t="s">
        <v>43</v>
      </c>
      <c r="B22" s="79">
        <v>5000</v>
      </c>
      <c r="C22" s="23" t="s">
        <v>44</v>
      </c>
      <c r="E22" s="39" t="s">
        <v>76</v>
      </c>
      <c r="I22" s="53"/>
    </row>
    <row r="23" spans="1:9" ht="12.75">
      <c r="A23" s="21" t="s">
        <v>37</v>
      </c>
      <c r="B23" s="79">
        <v>250</v>
      </c>
      <c r="C23" s="23" t="s">
        <v>22</v>
      </c>
      <c r="I23" s="53"/>
    </row>
    <row r="24" spans="1:9" ht="13.5" thickBot="1">
      <c r="A24" s="22" t="s">
        <v>38</v>
      </c>
      <c r="B24" s="80" t="s">
        <v>47</v>
      </c>
      <c r="C24" s="24" t="s">
        <v>40</v>
      </c>
      <c r="I24" s="53"/>
    </row>
    <row r="25" spans="1:9" ht="13.5" thickBot="1">
      <c r="A25" s="50" t="s">
        <v>106</v>
      </c>
      <c r="B25" s="89">
        <f>ROUND((B22/(60.96*PI()*B20))*(LN((2*B20*B20+2*B20*SQRT(4*B21*B21+B20*B20))/(B21*F46))+2*B21/B20-SQRT(4*B21*B21+B20*B20)/B20-1)+B23*VLOOKUP(B24,B45:C52,2,FALSE),2)</f>
        <v>1.94</v>
      </c>
      <c r="C25" s="51" t="s">
        <v>39</v>
      </c>
      <c r="I25" s="53"/>
    </row>
    <row r="26" spans="1:9" ht="14.25" thickBot="1" thickTop="1">
      <c r="A26" s="18"/>
      <c r="B26" s="18"/>
      <c r="C26" s="18"/>
      <c r="D26" s="18"/>
      <c r="E26" s="18"/>
      <c r="F26" s="18"/>
      <c r="G26" s="18"/>
      <c r="H26" s="18"/>
      <c r="I26" s="54"/>
    </row>
    <row r="27" ht="13.5" thickTop="1"/>
    <row r="29" ht="12.75">
      <c r="A29" s="2" t="s">
        <v>130</v>
      </c>
    </row>
    <row r="30" ht="12.75">
      <c r="A30" t="s">
        <v>129</v>
      </c>
    </row>
    <row r="31" ht="12.75">
      <c r="A31" t="s">
        <v>137</v>
      </c>
    </row>
    <row r="32" ht="12.75">
      <c r="A32" t="s">
        <v>136</v>
      </c>
    </row>
    <row r="33" ht="12.75">
      <c r="A33" t="s">
        <v>138</v>
      </c>
    </row>
    <row r="34" ht="12.75">
      <c r="A34" t="s">
        <v>210</v>
      </c>
    </row>
    <row r="35" ht="12.75">
      <c r="A35" t="s">
        <v>132</v>
      </c>
    </row>
    <row r="40" ht="12.75">
      <c r="A40" s="43"/>
    </row>
    <row r="42" spans="1:8" ht="13.5" thickBot="1">
      <c r="A42" s="109"/>
      <c r="B42" s="118"/>
      <c r="C42" s="109"/>
      <c r="D42" s="109"/>
      <c r="E42" s="38" t="s">
        <v>203</v>
      </c>
      <c r="F42" s="37"/>
      <c r="G42" s="37"/>
      <c r="H42" s="37"/>
    </row>
    <row r="43" spans="1:8" ht="13.5" thickTop="1">
      <c r="A43" t="s">
        <v>194</v>
      </c>
      <c r="B43" s="184" t="s">
        <v>46</v>
      </c>
      <c r="C43" s="186"/>
      <c r="D43" s="155"/>
      <c r="E43" s="178"/>
      <c r="F43" s="170"/>
      <c r="G43" s="170"/>
      <c r="H43" s="103"/>
    </row>
    <row r="44" spans="1:8" ht="12.75">
      <c r="A44" t="s">
        <v>196</v>
      </c>
      <c r="B44" s="149" t="s">
        <v>40</v>
      </c>
      <c r="C44" s="150" t="s">
        <v>50</v>
      </c>
      <c r="E44" s="172" t="s">
        <v>51</v>
      </c>
      <c r="F44" s="109"/>
      <c r="G44" s="109"/>
      <c r="H44" s="108" t="s">
        <v>99</v>
      </c>
    </row>
    <row r="45" spans="2:8" ht="12.75">
      <c r="B45" s="176" t="s">
        <v>59</v>
      </c>
      <c r="C45" s="152">
        <v>0.000162</v>
      </c>
      <c r="E45" s="172" t="s">
        <v>89</v>
      </c>
      <c r="F45" s="109"/>
      <c r="G45" s="109"/>
      <c r="H45" s="108" t="s">
        <v>100</v>
      </c>
    </row>
    <row r="46" spans="2:8" ht="12.75">
      <c r="B46" s="176" t="s">
        <v>58</v>
      </c>
      <c r="C46" s="152">
        <v>0.000259</v>
      </c>
      <c r="E46" s="172" t="s">
        <v>84</v>
      </c>
      <c r="F46" s="161">
        <f>2*(B19+B18)/(12*PI())</f>
        <v>1.2732395447351628</v>
      </c>
      <c r="G46" s="109"/>
      <c r="H46" s="108" t="s">
        <v>101</v>
      </c>
    </row>
    <row r="47" spans="2:8" ht="12.75">
      <c r="B47" s="176" t="s">
        <v>57</v>
      </c>
      <c r="C47" s="152">
        <v>0.00041</v>
      </c>
      <c r="E47" s="172" t="s">
        <v>53</v>
      </c>
      <c r="F47" s="110">
        <f>(B22/(60.96*PI()*B20))*(LN((2*B20*B20+2*B20*SQRT(4*B21*B21+B20*B20))/(B21*F46))+2*B21/B20-SQRT(4*B21*B21+B20*B20)/B20-1)</f>
        <v>1.909952881639193</v>
      </c>
      <c r="G47" s="109"/>
      <c r="H47" s="108" t="s">
        <v>102</v>
      </c>
    </row>
    <row r="48" spans="2:8" ht="12.75">
      <c r="B48" s="176" t="s">
        <v>56</v>
      </c>
      <c r="C48" s="152">
        <v>0.000654</v>
      </c>
      <c r="E48" s="172" t="s">
        <v>90</v>
      </c>
      <c r="F48" s="109"/>
      <c r="G48" s="109"/>
      <c r="H48" s="108" t="s">
        <v>103</v>
      </c>
    </row>
    <row r="49" spans="2:8" ht="12.75">
      <c r="B49" s="176" t="s">
        <v>60</v>
      </c>
      <c r="C49" s="152">
        <v>0.00104</v>
      </c>
      <c r="E49" s="172" t="s">
        <v>84</v>
      </c>
      <c r="F49" s="161">
        <f>2*(B4+B5)/(12*PI())</f>
        <v>1.2732395447351628</v>
      </c>
      <c r="G49" s="109"/>
      <c r="H49" s="108" t="s">
        <v>104</v>
      </c>
    </row>
    <row r="50" spans="2:8" ht="13.5" thickBot="1">
      <c r="B50" s="176" t="s">
        <v>47</v>
      </c>
      <c r="C50" s="152">
        <v>0.000102</v>
      </c>
      <c r="E50" s="172" t="s">
        <v>53</v>
      </c>
      <c r="F50" s="110">
        <f>ROUND((B8/(60.96*PI()*B6))*(LN((2*B6*B6+2*B6*SQRT(4*B7*B7+B6*B6))/(B7*F49))+2*B7/B6-SQRT(4*B7*B7+B6*B6)/B6-1),5)</f>
        <v>6.65405</v>
      </c>
      <c r="G50" s="109"/>
      <c r="H50" s="105" t="s">
        <v>105</v>
      </c>
    </row>
    <row r="51" spans="2:8" ht="13.5" thickTop="1">
      <c r="B51" s="176" t="s">
        <v>48</v>
      </c>
      <c r="C51" s="152">
        <v>8.11E-05</v>
      </c>
      <c r="E51" s="172" t="s">
        <v>92</v>
      </c>
      <c r="F51" s="161">
        <f>F50/B9*(1+(B8/(30.48*PI()*B10*F50))*LN(0.656*B9))</f>
        <v>0.6015258283767569</v>
      </c>
      <c r="G51" s="109"/>
      <c r="H51" s="108"/>
    </row>
    <row r="52" spans="2:8" ht="13.5" thickBot="1">
      <c r="B52" s="177" t="s">
        <v>49</v>
      </c>
      <c r="C52" s="154">
        <v>5.09E-05</v>
      </c>
      <c r="E52" s="172" t="s">
        <v>54</v>
      </c>
      <c r="F52" s="163">
        <f>1/(B9*F51)</f>
        <v>0.08312195028254585</v>
      </c>
      <c r="G52" s="109"/>
      <c r="H52" s="108" t="s">
        <v>78</v>
      </c>
    </row>
    <row r="53" spans="5:8" ht="12.75">
      <c r="E53" s="172" t="s">
        <v>55</v>
      </c>
      <c r="F53" s="165">
        <f>VLOOKUP(B12,B45:C52,2,FALSE)*B10</f>
        <v>0.00255</v>
      </c>
      <c r="G53" s="109"/>
      <c r="H53" s="108" t="s">
        <v>79</v>
      </c>
    </row>
    <row r="54" spans="5:8" ht="12.75">
      <c r="E54" s="179" t="s">
        <v>61</v>
      </c>
      <c r="F54" s="163">
        <f>SQRT(F52*F53)</f>
        <v>0.014558879531766582</v>
      </c>
      <c r="G54" s="109"/>
      <c r="H54" s="108" t="s">
        <v>80</v>
      </c>
    </row>
    <row r="55" spans="5:8" ht="15.75">
      <c r="E55" s="172" t="s">
        <v>62</v>
      </c>
      <c r="F55" s="163">
        <f>SQRT(F53/F52)</f>
        <v>0.1751508414116661</v>
      </c>
      <c r="G55" s="109"/>
      <c r="H55" s="108" t="s">
        <v>82</v>
      </c>
    </row>
    <row r="56" spans="5:8" ht="15.75">
      <c r="E56" s="172" t="s">
        <v>63</v>
      </c>
      <c r="F56" s="161">
        <f>F55*(1/TANH(F54*B9))</f>
        <v>0.6184305087697543</v>
      </c>
      <c r="G56" s="109"/>
      <c r="H56" s="108" t="s">
        <v>83</v>
      </c>
    </row>
    <row r="57" spans="1:8" ht="15.75">
      <c r="A57" s="31"/>
      <c r="E57" s="172" t="s">
        <v>64</v>
      </c>
      <c r="F57" s="161">
        <v>1</v>
      </c>
      <c r="G57" s="109"/>
      <c r="H57" s="108" t="s">
        <v>94</v>
      </c>
    </row>
    <row r="58" spans="1:8" ht="15.75">
      <c r="A58" s="31"/>
      <c r="E58" s="172" t="s">
        <v>65</v>
      </c>
      <c r="F58" s="161">
        <f>F57/F56</f>
        <v>1.6169965514626747</v>
      </c>
      <c r="G58" s="109"/>
      <c r="H58" s="108" t="s">
        <v>95</v>
      </c>
    </row>
    <row r="59" spans="5:8" ht="15.75">
      <c r="E59" s="172" t="s">
        <v>67</v>
      </c>
      <c r="F59" s="161">
        <f>F57*COSH(F54*B9)-F55*F58*SINH(F54*B9)</f>
        <v>0.9590554680704491</v>
      </c>
      <c r="G59" s="109"/>
      <c r="H59" s="108" t="s">
        <v>96</v>
      </c>
    </row>
    <row r="60" spans="2:8" ht="12.75">
      <c r="B60" s="31"/>
      <c r="E60" s="172" t="s">
        <v>66</v>
      </c>
      <c r="F60" s="161">
        <f>F57/F59</f>
        <v>1.0426925587650613</v>
      </c>
      <c r="G60" s="109"/>
      <c r="H60" s="108" t="s">
        <v>97</v>
      </c>
    </row>
    <row r="61" spans="2:8" ht="12.75">
      <c r="B61" s="31"/>
      <c r="E61" s="172" t="s">
        <v>68</v>
      </c>
      <c r="F61" s="165">
        <f>F53*B11/B10</f>
        <v>0.025500000000000002</v>
      </c>
      <c r="G61" s="109"/>
      <c r="H61" s="108" t="s">
        <v>98</v>
      </c>
    </row>
    <row r="62" spans="2:8" ht="13.5" thickBot="1">
      <c r="B62" s="31"/>
      <c r="E62" s="174" t="s">
        <v>69</v>
      </c>
      <c r="F62" s="180">
        <f>SUM(F56,F61)</f>
        <v>0.6439305087697542</v>
      </c>
      <c r="G62" s="37"/>
      <c r="H62" s="105"/>
    </row>
    <row r="63" ht="13.5" thickTop="1"/>
  </sheetData>
  <sheetProtection password="C497" sheet="1" objects="1" scenarios="1"/>
  <mergeCells count="1">
    <mergeCell ref="B43:C43"/>
  </mergeCells>
  <printOptions/>
  <pageMargins left="0.75" right="0.75" top="1" bottom="1" header="0.5" footer="0.5"/>
  <pageSetup horizontalDpi="600" verticalDpi="600" orientation="portrait" r:id="rId3"/>
  <ignoredErrors>
    <ignoredError sqref="B12 B24" twoDigitTextYear="1"/>
  </ignoredErrors>
  <legacyDrawing r:id="rId2"/>
</worksheet>
</file>

<file path=xl/worksheets/sheet4.xml><?xml version="1.0" encoding="utf-8"?>
<worksheet xmlns="http://schemas.openxmlformats.org/spreadsheetml/2006/main" xmlns:r="http://schemas.openxmlformats.org/officeDocument/2006/relationships">
  <sheetPr>
    <tabColor indexed="33"/>
  </sheetPr>
  <dimension ref="A1:L38"/>
  <sheetViews>
    <sheetView workbookViewId="0" topLeftCell="A1">
      <selection activeCell="J15" sqref="J15"/>
    </sheetView>
  </sheetViews>
  <sheetFormatPr defaultColWidth="9.140625" defaultRowHeight="12.75"/>
  <cols>
    <col min="1" max="1" width="33.7109375" style="0" customWidth="1"/>
    <col min="4" max="4" width="14.8515625" style="0" customWidth="1"/>
    <col min="6" max="6" width="2.7109375" style="0" customWidth="1"/>
  </cols>
  <sheetData>
    <row r="1" spans="1:12" ht="14.25" thickBot="1" thickTop="1">
      <c r="A1" s="116" t="s">
        <v>159</v>
      </c>
      <c r="B1" s="19"/>
      <c r="C1" s="19"/>
      <c r="D1" s="18"/>
      <c r="E1" s="18"/>
      <c r="F1" s="55"/>
      <c r="G1" s="35"/>
      <c r="H1" s="35"/>
      <c r="I1" s="35"/>
      <c r="J1" s="35"/>
      <c r="K1" s="35"/>
      <c r="L1" s="35"/>
    </row>
    <row r="2" spans="1:12" ht="14.25" thickBot="1" thickTop="1">
      <c r="A2" s="112"/>
      <c r="B2" s="113"/>
      <c r="C2" s="113"/>
      <c r="D2" s="114"/>
      <c r="E2" s="114"/>
      <c r="F2" s="53"/>
      <c r="G2" s="35"/>
      <c r="H2" s="35"/>
      <c r="I2" s="35"/>
      <c r="J2" s="35"/>
      <c r="K2" s="35"/>
      <c r="L2" s="35"/>
    </row>
    <row r="3" spans="1:6" ht="14.25" thickBot="1" thickTop="1">
      <c r="A3" s="122" t="s">
        <v>32</v>
      </c>
      <c r="B3" s="127" t="s">
        <v>151</v>
      </c>
      <c r="C3" s="127" t="s">
        <v>152</v>
      </c>
      <c r="D3" s="122" t="s">
        <v>153</v>
      </c>
      <c r="E3" s="123"/>
      <c r="F3" s="53"/>
    </row>
    <row r="4" spans="1:6" ht="13.5" thickTop="1">
      <c r="A4" s="4" t="s">
        <v>140</v>
      </c>
      <c r="B4" s="79">
        <v>30</v>
      </c>
      <c r="C4" s="124" t="s">
        <v>141</v>
      </c>
      <c r="D4" t="str">
        <f>IF(TYPE(B4)=1,"OK","Error: Must enter a number.")</f>
        <v>OK</v>
      </c>
      <c r="F4" s="53"/>
    </row>
    <row r="5" spans="1:6" ht="12.75">
      <c r="A5" s="4" t="s">
        <v>150</v>
      </c>
      <c r="B5" s="79">
        <v>6</v>
      </c>
      <c r="C5" s="125" t="s">
        <v>143</v>
      </c>
      <c r="D5" s="115" t="str">
        <f>IF(OR(B5=4,B5=6),"OK","Error: Must enter 4 or 6.")</f>
        <v>OK</v>
      </c>
      <c r="F5" s="53"/>
    </row>
    <row r="6" spans="1:6" ht="12.75">
      <c r="A6" s="4" t="s">
        <v>145</v>
      </c>
      <c r="B6" s="79">
        <v>2000</v>
      </c>
      <c r="C6" s="125" t="s">
        <v>146</v>
      </c>
      <c r="D6" t="str">
        <f>IF(TYPE(B6)=1,"OK","Error: Must enter a number.")</f>
        <v>OK</v>
      </c>
      <c r="F6" s="53"/>
    </row>
    <row r="7" spans="1:6" ht="13.5" thickBot="1">
      <c r="A7" s="7" t="s">
        <v>142</v>
      </c>
      <c r="B7" s="73">
        <v>80</v>
      </c>
      <c r="C7" s="126" t="s">
        <v>144</v>
      </c>
      <c r="D7" t="str">
        <f>IF(TYPE(B7)=1,"OK","Error: Must enter a number.")</f>
        <v>OK</v>
      </c>
      <c r="F7" s="53"/>
    </row>
    <row r="8" spans="2:6" ht="13.5" thickTop="1">
      <c r="B8" s="1"/>
      <c r="C8" s="1"/>
      <c r="F8" s="53"/>
    </row>
    <row r="9" spans="2:6" ht="13.5" thickBot="1">
      <c r="B9" s="1"/>
      <c r="C9" s="1"/>
      <c r="F9" s="53"/>
    </row>
    <row r="10" spans="1:6" ht="14.25" thickBot="1" thickTop="1">
      <c r="A10" s="191" t="s">
        <v>147</v>
      </c>
      <c r="B10" s="192"/>
      <c r="C10" s="121"/>
      <c r="D10" s="114"/>
      <c r="E10" s="114"/>
      <c r="F10" s="53"/>
    </row>
    <row r="11" spans="1:6" ht="13.5" thickTop="1">
      <c r="A11" s="128" t="s">
        <v>176</v>
      </c>
      <c r="B11" s="88">
        <f>ROUNDUP(IF(B5=4,B4/0.31,B4/0.39),0)</f>
        <v>77</v>
      </c>
      <c r="C11" s="131" t="s">
        <v>144</v>
      </c>
      <c r="D11" s="128"/>
      <c r="F11" s="53"/>
    </row>
    <row r="12" spans="1:6" ht="12.75">
      <c r="A12" s="129" t="s">
        <v>148</v>
      </c>
      <c r="B12" s="88">
        <f>IF(B5=4,8,10)</f>
        <v>10</v>
      </c>
      <c r="C12" s="132" t="s">
        <v>143</v>
      </c>
      <c r="D12" s="129"/>
      <c r="F12" s="53"/>
    </row>
    <row r="13" spans="1:6" ht="12.75">
      <c r="A13" s="129" t="s">
        <v>211</v>
      </c>
      <c r="B13" s="88">
        <f>IF(OR(B11&lt;B7,B11=B7),1,ROUNDUP(B11/B7,0))</f>
        <v>1</v>
      </c>
      <c r="C13" s="189" t="s">
        <v>160</v>
      </c>
      <c r="D13" s="190"/>
      <c r="F13" s="53"/>
    </row>
    <row r="14" spans="1:6" ht="13.5" thickBot="1">
      <c r="A14" s="130" t="s">
        <v>149</v>
      </c>
      <c r="B14" s="83">
        <f>IF(B13=1,E38,E37)</f>
        <v>0.67</v>
      </c>
      <c r="C14" s="133" t="s">
        <v>39</v>
      </c>
      <c r="D14" s="130"/>
      <c r="F14" s="53"/>
    </row>
    <row r="15" spans="3:6" ht="14.25" thickBot="1" thickTop="1">
      <c r="C15" s="1"/>
      <c r="F15" s="53"/>
    </row>
    <row r="16" spans="1:6" ht="14.25" thickBot="1" thickTop="1">
      <c r="A16" s="17"/>
      <c r="B16" s="18"/>
      <c r="C16" s="120"/>
      <c r="D16" s="18"/>
      <c r="E16" s="18"/>
      <c r="F16" s="54"/>
    </row>
    <row r="17" ht="13.5" thickTop="1">
      <c r="C17" s="1"/>
    </row>
    <row r="18" spans="1:3" ht="12.75">
      <c r="A18" t="s">
        <v>26</v>
      </c>
      <c r="C18" s="1"/>
    </row>
    <row r="19" spans="1:3" ht="12.75">
      <c r="A19" s="2" t="s">
        <v>165</v>
      </c>
      <c r="C19" s="1"/>
    </row>
    <row r="20" spans="1:3" ht="12.75">
      <c r="A20" s="2" t="s">
        <v>166</v>
      </c>
      <c r="C20" s="1"/>
    </row>
    <row r="21" spans="1:3" ht="12.75">
      <c r="A21" s="2" t="s">
        <v>167</v>
      </c>
      <c r="C21" s="1"/>
    </row>
    <row r="22" spans="1:3" ht="12.75">
      <c r="A22" t="s">
        <v>161</v>
      </c>
      <c r="C22" s="1"/>
    </row>
    <row r="23" spans="1:3" ht="12.75">
      <c r="A23" t="s">
        <v>155</v>
      </c>
      <c r="C23" s="1"/>
    </row>
    <row r="24" spans="1:3" ht="12.75">
      <c r="A24" t="s">
        <v>162</v>
      </c>
      <c r="C24" s="1"/>
    </row>
    <row r="25" spans="1:3" ht="12.75">
      <c r="A25" t="s">
        <v>174</v>
      </c>
      <c r="C25" s="1"/>
    </row>
    <row r="26" spans="1:3" ht="12.75">
      <c r="A26" t="s">
        <v>163</v>
      </c>
      <c r="C26" s="1"/>
    </row>
    <row r="27" spans="1:3" ht="12.75">
      <c r="A27" t="s">
        <v>156</v>
      </c>
      <c r="C27" s="1"/>
    </row>
    <row r="28" spans="1:3" ht="12.75">
      <c r="A28" t="s">
        <v>170</v>
      </c>
      <c r="C28" s="1"/>
    </row>
    <row r="29" spans="1:3" ht="12.75">
      <c r="A29" t="s">
        <v>164</v>
      </c>
      <c r="C29" s="1"/>
    </row>
    <row r="30" spans="1:3" ht="12.75">
      <c r="A30" t="s">
        <v>172</v>
      </c>
      <c r="C30" s="1"/>
    </row>
    <row r="31" spans="1:3" ht="12.75">
      <c r="A31" t="s">
        <v>173</v>
      </c>
      <c r="C31" s="1"/>
    </row>
    <row r="32" spans="1:3" ht="12.75">
      <c r="A32" t="s">
        <v>175</v>
      </c>
      <c r="C32" s="1"/>
    </row>
    <row r="33" spans="1:3" ht="12.75">
      <c r="A33" t="s">
        <v>171</v>
      </c>
      <c r="C33" s="1"/>
    </row>
    <row r="34" spans="2:8" ht="13.5" thickBot="1">
      <c r="B34" s="38" t="s">
        <v>158</v>
      </c>
      <c r="C34" s="117"/>
      <c r="D34" s="37"/>
      <c r="E34" s="37"/>
      <c r="F34" s="37"/>
      <c r="G34" s="37"/>
      <c r="H34" s="37"/>
    </row>
    <row r="35" spans="2:8" ht="13.5" thickTop="1">
      <c r="B35" s="169"/>
      <c r="C35" s="138"/>
      <c r="D35" s="170" t="s">
        <v>157</v>
      </c>
      <c r="E35" s="171">
        <v>50</v>
      </c>
      <c r="F35" s="193" t="s">
        <v>144</v>
      </c>
      <c r="G35" s="194"/>
      <c r="H35" s="103"/>
    </row>
    <row r="36" spans="2:8" ht="12.75">
      <c r="B36" s="172"/>
      <c r="C36" s="119"/>
      <c r="D36" s="109" t="s">
        <v>154</v>
      </c>
      <c r="E36" s="173">
        <f>IF($B$13=1,$B$11,$B$11/$B$13)</f>
        <v>77</v>
      </c>
      <c r="F36" s="187" t="s">
        <v>144</v>
      </c>
      <c r="G36" s="195"/>
      <c r="H36" s="108"/>
    </row>
    <row r="37" spans="2:8" ht="12.75">
      <c r="B37" s="172"/>
      <c r="C37" s="109"/>
      <c r="D37" s="109" t="s">
        <v>168</v>
      </c>
      <c r="E37" s="110">
        <f>ROUND(($B$6/(60.96*PI()*E36*B13))*(LN(24*E36/B12*(1+SQRT(1+POWER(B12/(24*E36),2))))+B12/(24*E36)-SQRT(1+POWER(B12/(24*E36),2))+(2*E36/E35)*LN(0.656*B13)),2)</f>
        <v>0.49</v>
      </c>
      <c r="F37" s="187" t="s">
        <v>39</v>
      </c>
      <c r="G37" s="187"/>
      <c r="H37" s="108"/>
    </row>
    <row r="38" spans="2:8" ht="13.5" thickBot="1">
      <c r="B38" s="174"/>
      <c r="C38" s="37"/>
      <c r="D38" s="37" t="s">
        <v>169</v>
      </c>
      <c r="E38" s="175">
        <f>ROUND(($B$6/(60.96*PI()*E36))*(LN(24*E36/B12*(1+SQRT(1+POWER(B12/(24*E36),2))))+B12/(24*E36)-SQRT(1+POWER(B12/(24*E36),2))),2)</f>
        <v>0.67</v>
      </c>
      <c r="F38" s="188" t="s">
        <v>39</v>
      </c>
      <c r="G38" s="188"/>
      <c r="H38" s="105"/>
    </row>
    <row r="39" ht="13.5" thickTop="1"/>
  </sheetData>
  <sheetProtection password="C497" sheet="1" objects="1" scenarios="1"/>
  <mergeCells count="6">
    <mergeCell ref="F37:G37"/>
    <mergeCell ref="F38:G38"/>
    <mergeCell ref="C13:D13"/>
    <mergeCell ref="A10:B10"/>
    <mergeCell ref="F35:G35"/>
    <mergeCell ref="F36:G36"/>
  </mergeCells>
  <printOptions/>
  <pageMargins left="0.75" right="0.75" top="1" bottom="1" header="0.5" footer="0.5"/>
  <pageSetup horizontalDpi="600" verticalDpi="600" orientation="portrait" r:id="rId3"/>
  <ignoredErrors>
    <ignoredError sqref="D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Loresco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H Lewis, Jr</dc:creator>
  <cp:keywords/>
  <dc:description/>
  <cp:lastModifiedBy>Tom</cp:lastModifiedBy>
  <cp:lastPrinted>2004-03-11T22:43:55Z</cp:lastPrinted>
  <dcterms:created xsi:type="dcterms:W3CDTF">2003-12-05T16:40:22Z</dcterms:created>
  <dcterms:modified xsi:type="dcterms:W3CDTF">2008-12-03T00:48:38Z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